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el.vrba\Desktop\BM01\BEMnew\podklady\Nová složka\"/>
    </mc:Choice>
  </mc:AlternateContent>
  <xr:revisionPtr revIDLastSave="0" documentId="13_ncr:1_{935678BE-85B9-4DFD-9788-3BF2FBBDE8D2}" xr6:coauthVersionLast="47" xr6:coauthVersionMax="47" xr10:uidLastSave="{00000000-0000-0000-0000-000000000000}"/>
  <bookViews>
    <workbookView xWindow="23436" yWindow="-3288" windowWidth="26484" windowHeight="14640" xr2:uid="{00000000-000D-0000-FFFF-FFFF00000000}"/>
  </bookViews>
  <sheets>
    <sheet name="Vystup" sheetId="2" r:id="rId1"/>
    <sheet name="vypoce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47" i="1" l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2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7" i="1"/>
  <c r="AQ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" i="1"/>
  <c r="AO7" i="1"/>
  <c r="AO8" i="1" s="1"/>
  <c r="AO9" i="1" s="1"/>
  <c r="AO10" i="1" s="1"/>
  <c r="AO11" i="1" s="1"/>
  <c r="AO12" i="1" s="1"/>
  <c r="AO13" i="1" s="1"/>
  <c r="AO14" i="1" s="1"/>
  <c r="AO15" i="1" s="1"/>
  <c r="AO16" i="1" s="1"/>
  <c r="AO17" i="1" s="1"/>
  <c r="AO18" i="1" s="1"/>
  <c r="AO19" i="1" s="1"/>
  <c r="AO20" i="1" s="1"/>
  <c r="AO21" i="1" s="1"/>
  <c r="AO22" i="1" s="1"/>
  <c r="AO23" i="1" s="1"/>
  <c r="AO24" i="1" s="1"/>
  <c r="AO25" i="1" s="1"/>
  <c r="AO26" i="1" s="1"/>
  <c r="AO27" i="1" s="1"/>
  <c r="AO28" i="1" s="1"/>
  <c r="AO29" i="1" s="1"/>
  <c r="AO30" i="1" s="1"/>
  <c r="AO31" i="1" s="1"/>
  <c r="AO32" i="1" s="1"/>
  <c r="AO33" i="1" s="1"/>
  <c r="AO34" i="1" s="1"/>
  <c r="AO35" i="1" s="1"/>
  <c r="AO36" i="1" s="1"/>
  <c r="AO37" i="1" s="1"/>
  <c r="AO38" i="1" s="1"/>
  <c r="AO39" i="1" s="1"/>
  <c r="AO40" i="1" s="1"/>
  <c r="AO41" i="1" s="1"/>
  <c r="AO42" i="1" s="1"/>
  <c r="AO43" i="1" s="1"/>
  <c r="AO44" i="1" s="1"/>
  <c r="AO45" i="1" s="1"/>
  <c r="AL27" i="1"/>
  <c r="AL28" i="1" s="1"/>
  <c r="AL29" i="1" s="1"/>
  <c r="AL30" i="1" s="1"/>
  <c r="AL31" i="1" s="1"/>
  <c r="AL32" i="1" s="1"/>
  <c r="AL33" i="1" s="1"/>
  <c r="AL34" i="1" s="1"/>
  <c r="AL35" i="1" s="1"/>
  <c r="AL36" i="1" s="1"/>
  <c r="AL37" i="1" s="1"/>
  <c r="AL38" i="1" s="1"/>
  <c r="AL39" i="1" s="1"/>
  <c r="AL40" i="1" s="1"/>
  <c r="AL41" i="1" s="1"/>
  <c r="AL42" i="1" s="1"/>
  <c r="AL43" i="1" s="1"/>
  <c r="AL44" i="1" s="1"/>
  <c r="AL45" i="1" s="1"/>
  <c r="C4" i="1"/>
  <c r="C3" i="1"/>
  <c r="AZ6" i="1"/>
  <c r="F29" i="2"/>
  <c r="F82" i="2" s="1"/>
  <c r="F132" i="2" s="1"/>
  <c r="F187" i="2" s="1"/>
  <c r="F238" i="2" s="1"/>
  <c r="G405" i="2" s="1"/>
  <c r="G452" i="2" s="1"/>
  <c r="G498" i="2" s="1"/>
  <c r="AH6" i="1"/>
  <c r="I187" i="2" s="1"/>
  <c r="AG7" i="1"/>
  <c r="AG8" i="1" s="1"/>
  <c r="AG9" i="1" s="1"/>
  <c r="I207" i="2"/>
  <c r="S187" i="2"/>
  <c r="S207" i="2"/>
  <c r="AC187" i="2"/>
  <c r="AI7" i="1"/>
  <c r="S182" i="2"/>
  <c r="F289" i="2" l="1"/>
  <c r="F340" i="2" s="1"/>
  <c r="Z4" i="1"/>
  <c r="L23" i="2" s="1"/>
  <c r="P4" i="1"/>
  <c r="G5" i="1" s="1"/>
  <c r="V36" i="1"/>
  <c r="V28" i="1" s="1"/>
  <c r="C5" i="1"/>
  <c r="AG10" i="1"/>
  <c r="AI8" i="1"/>
  <c r="AB6" i="1" l="1"/>
  <c r="AX6" i="1" s="1"/>
  <c r="P3" i="1"/>
  <c r="Q3" i="1"/>
  <c r="Q6" i="1" s="1"/>
  <c r="V73" i="1"/>
  <c r="V74" i="1" s="1"/>
  <c r="BB71" i="1"/>
  <c r="BB72" i="1" s="1"/>
  <c r="AV74" i="1"/>
  <c r="AV75" i="1" s="1"/>
  <c r="S24" i="2"/>
  <c r="V31" i="1"/>
  <c r="V41" i="1" s="1"/>
  <c r="V32" i="1"/>
  <c r="V40" i="1" s="1"/>
  <c r="V34" i="1"/>
  <c r="V38" i="1" s="1"/>
  <c r="V30" i="1"/>
  <c r="V42" i="1" s="1"/>
  <c r="V35" i="1"/>
  <c r="V37" i="1" s="1"/>
  <c r="V29" i="1"/>
  <c r="V43" i="1" s="1"/>
  <c r="V27" i="1"/>
  <c r="V45" i="1" s="1"/>
  <c r="AJ72" i="1"/>
  <c r="AJ73" i="1" s="1"/>
  <c r="Z6" i="1"/>
  <c r="AG72" i="1"/>
  <c r="AG73" i="1" s="1"/>
  <c r="AW34" i="1"/>
  <c r="AW33" i="1" s="1"/>
  <c r="X16" i="1"/>
  <c r="K16" i="2"/>
  <c r="V71" i="1"/>
  <c r="V72" i="1" s="1"/>
  <c r="AE72" i="1"/>
  <c r="AE73" i="1" s="1"/>
  <c r="AJ70" i="1"/>
  <c r="AJ71" i="1" s="1"/>
  <c r="AE70" i="1"/>
  <c r="AE71" i="1" s="1"/>
  <c r="BB75" i="1"/>
  <c r="BB76" i="1" s="1"/>
  <c r="AV72" i="1"/>
  <c r="AV73" i="1" s="1"/>
  <c r="R6" i="1"/>
  <c r="AT72" i="1"/>
  <c r="AT73" i="1" s="1"/>
  <c r="BB73" i="1"/>
  <c r="BB74" i="1" s="1"/>
  <c r="AT23" i="1"/>
  <c r="AU6" i="1"/>
  <c r="J452" i="2" s="1"/>
  <c r="AG70" i="1"/>
  <c r="AG71" i="1" s="1"/>
  <c r="G3" i="1"/>
  <c r="AT24" i="1"/>
  <c r="N7" i="1"/>
  <c r="O7" i="1" s="1"/>
  <c r="R73" i="1"/>
  <c r="R74" i="1" s="1"/>
  <c r="AJ74" i="1"/>
  <c r="AJ75" i="1" s="1"/>
  <c r="AT70" i="1"/>
  <c r="AT71" i="1" s="1"/>
  <c r="AG74" i="1"/>
  <c r="AG75" i="1" s="1"/>
  <c r="AE74" i="1"/>
  <c r="AE75" i="1" s="1"/>
  <c r="AV70" i="1"/>
  <c r="AV71" i="1" s="1"/>
  <c r="AT74" i="1"/>
  <c r="AT75" i="1" s="1"/>
  <c r="V69" i="1"/>
  <c r="V70" i="1" s="1"/>
  <c r="G4" i="1"/>
  <c r="R71" i="1"/>
  <c r="R72" i="1" s="1"/>
  <c r="V33" i="1"/>
  <c r="V39" i="1" s="1"/>
  <c r="R69" i="1"/>
  <c r="R70" i="1" s="1"/>
  <c r="AI9" i="1"/>
  <c r="AG11" i="1"/>
  <c r="V44" i="1"/>
  <c r="L334" i="2" l="1"/>
  <c r="S335" i="2" s="1"/>
  <c r="L283" i="2"/>
  <c r="S284" i="2" s="1"/>
  <c r="AD6" i="1"/>
  <c r="AE6" i="1"/>
  <c r="AB7" i="1"/>
  <c r="AC7" i="1" s="1"/>
  <c r="F30" i="2"/>
  <c r="F83" i="2" s="1"/>
  <c r="F133" i="2" s="1"/>
  <c r="F188" i="2" s="1"/>
  <c r="F239" i="2" s="1"/>
  <c r="W53" i="2"/>
  <c r="H3" i="1"/>
  <c r="R7" i="1"/>
  <c r="N8" i="1"/>
  <c r="R8" i="1" s="1"/>
  <c r="AT26" i="1"/>
  <c r="T452" i="2" s="1"/>
  <c r="AC6" i="1"/>
  <c r="H5" i="1"/>
  <c r="F5" i="1"/>
  <c r="AV6" i="1"/>
  <c r="J498" i="2" s="1"/>
  <c r="P6" i="1"/>
  <c r="F3" i="1"/>
  <c r="Q4" i="1"/>
  <c r="F4" i="1"/>
  <c r="BA6" i="1"/>
  <c r="J405" i="2" s="1"/>
  <c r="X10" i="1"/>
  <c r="X22" i="1" s="1"/>
  <c r="X9" i="1"/>
  <c r="X23" i="1" s="1"/>
  <c r="X8" i="1"/>
  <c r="X24" i="1" s="1"/>
  <c r="X13" i="1"/>
  <c r="X19" i="1" s="1"/>
  <c r="X15" i="1"/>
  <c r="X17" i="1" s="1"/>
  <c r="X14" i="1"/>
  <c r="X18" i="1" s="1"/>
  <c r="X7" i="1"/>
  <c r="X25" i="1" s="1"/>
  <c r="X12" i="1"/>
  <c r="X20" i="1" s="1"/>
  <c r="X11" i="1"/>
  <c r="X21" i="1" s="1"/>
  <c r="AZ7" i="1"/>
  <c r="BA7" i="1" s="1"/>
  <c r="J406" i="2" s="1"/>
  <c r="L24" i="2"/>
  <c r="G7" i="1"/>
  <c r="S77" i="2" s="1"/>
  <c r="S233" i="2" s="1"/>
  <c r="G6" i="1"/>
  <c r="W262" i="2"/>
  <c r="W106" i="2"/>
  <c r="L76" i="2"/>
  <c r="W211" i="2"/>
  <c r="L232" i="2"/>
  <c r="S234" i="2" s="1"/>
  <c r="W156" i="2"/>
  <c r="L126" i="2"/>
  <c r="BB6" i="1"/>
  <c r="AY6" i="1"/>
  <c r="AI10" i="1"/>
  <c r="AG12" i="1"/>
  <c r="AV7" i="1"/>
  <c r="P7" i="1"/>
  <c r="Q7" i="1"/>
  <c r="Z7" i="1"/>
  <c r="AU7" i="1"/>
  <c r="I341" i="2" l="1"/>
  <c r="AM6" i="1"/>
  <c r="I340" i="2"/>
  <c r="G406" i="2"/>
  <c r="G453" i="2" s="1"/>
  <c r="G499" i="2" s="1"/>
  <c r="F290" i="2"/>
  <c r="F341" i="2" s="1"/>
  <c r="AE7" i="1"/>
  <c r="AF6" i="1"/>
  <c r="AX7" i="1"/>
  <c r="BB7" i="1" s="1"/>
  <c r="BC6" i="1" s="1"/>
  <c r="AD7" i="1"/>
  <c r="AM7" i="1"/>
  <c r="AP7" i="1"/>
  <c r="AP6" i="1"/>
  <c r="Y6" i="1"/>
  <c r="W6" i="1"/>
  <c r="I132" i="2" s="1"/>
  <c r="AJ6" i="1"/>
  <c r="I238" i="2" s="1"/>
  <c r="AB8" i="1"/>
  <c r="AC8" i="1" s="1"/>
  <c r="N9" i="1"/>
  <c r="N10" i="1" s="1"/>
  <c r="O8" i="1"/>
  <c r="AV8" i="1" s="1"/>
  <c r="J500" i="2" s="1"/>
  <c r="H7" i="1"/>
  <c r="F6" i="1"/>
  <c r="L183" i="2" s="1"/>
  <c r="F31" i="2"/>
  <c r="F84" i="2" s="1"/>
  <c r="F134" i="2" s="1"/>
  <c r="F189" i="2" s="1"/>
  <c r="F240" i="2" s="1"/>
  <c r="AZ8" i="1"/>
  <c r="BA8" i="1" s="1"/>
  <c r="J407" i="2" s="1"/>
  <c r="F7" i="1"/>
  <c r="H6" i="1"/>
  <c r="S128" i="2" s="1"/>
  <c r="L233" i="2"/>
  <c r="L77" i="2"/>
  <c r="AA6" i="1"/>
  <c r="I29" i="2" s="1"/>
  <c r="S6" i="1"/>
  <c r="I82" i="2" s="1"/>
  <c r="W7" i="1"/>
  <c r="AA7" i="1"/>
  <c r="I30" i="2" s="1"/>
  <c r="J499" i="2"/>
  <c r="AH7" i="1"/>
  <c r="Y7" i="1"/>
  <c r="J453" i="2"/>
  <c r="AG13" i="1"/>
  <c r="AJ7" i="1"/>
  <c r="I239" i="2" s="1"/>
  <c r="S7" i="1"/>
  <c r="AI11" i="1"/>
  <c r="I290" i="2" l="1"/>
  <c r="AN7" i="1"/>
  <c r="I289" i="2"/>
  <c r="AN6" i="1"/>
  <c r="L128" i="2"/>
  <c r="G407" i="2"/>
  <c r="G454" i="2" s="1"/>
  <c r="G500" i="2" s="1"/>
  <c r="F291" i="2"/>
  <c r="F342" i="2" s="1"/>
  <c r="AF7" i="1"/>
  <c r="AY7" i="1"/>
  <c r="AD8" i="1"/>
  <c r="L78" i="2"/>
  <c r="S25" i="2"/>
  <c r="S183" i="2" s="1"/>
  <c r="AX8" i="1"/>
  <c r="AY8" i="1" s="1"/>
  <c r="AE8" i="1"/>
  <c r="Q8" i="1"/>
  <c r="AZ9" i="1"/>
  <c r="BA9" i="1" s="1"/>
  <c r="J408" i="2" s="1"/>
  <c r="R9" i="1"/>
  <c r="AB9" i="1"/>
  <c r="AX9" i="1" s="1"/>
  <c r="L25" i="2"/>
  <c r="F32" i="2"/>
  <c r="F85" i="2" s="1"/>
  <c r="F135" i="2" s="1"/>
  <c r="F190" i="2" s="1"/>
  <c r="F241" i="2" s="1"/>
  <c r="O9" i="1"/>
  <c r="AU9" i="1" s="1"/>
  <c r="AU8" i="1"/>
  <c r="J454" i="2" s="1"/>
  <c r="Z8" i="1"/>
  <c r="P8" i="1"/>
  <c r="AG14" i="1"/>
  <c r="I133" i="2"/>
  <c r="O10" i="1"/>
  <c r="AB10" i="1"/>
  <c r="N11" i="1"/>
  <c r="F33" i="2"/>
  <c r="F86" i="2" s="1"/>
  <c r="F136" i="2" s="1"/>
  <c r="F191" i="2" s="1"/>
  <c r="F242" i="2" s="1"/>
  <c r="R10" i="1"/>
  <c r="AZ10" i="1"/>
  <c r="BA10" i="1" s="1"/>
  <c r="J409" i="2" s="1"/>
  <c r="AI12" i="1"/>
  <c r="I83" i="2"/>
  <c r="I188" i="2"/>
  <c r="S8" i="1" l="1"/>
  <c r="I84" i="2" s="1"/>
  <c r="I342" i="2"/>
  <c r="G408" i="2"/>
  <c r="G455" i="2" s="1"/>
  <c r="G501" i="2" s="1"/>
  <c r="F292" i="2"/>
  <c r="F343" i="2" s="1"/>
  <c r="G409" i="2"/>
  <c r="G456" i="2" s="1"/>
  <c r="G502" i="2" s="1"/>
  <c r="F293" i="2"/>
  <c r="F344" i="2" s="1"/>
  <c r="S78" i="2"/>
  <c r="AF8" i="1"/>
  <c r="W8" i="1"/>
  <c r="I134" i="2" s="1"/>
  <c r="AM8" i="1"/>
  <c r="AP8" i="1"/>
  <c r="AJ8" i="1"/>
  <c r="I240" i="2" s="1"/>
  <c r="AC9" i="1"/>
  <c r="AE9" i="1"/>
  <c r="AD9" i="1"/>
  <c r="Z9" i="1"/>
  <c r="AV9" i="1"/>
  <c r="J501" i="2" s="1"/>
  <c r="P9" i="1"/>
  <c r="BB8" i="1"/>
  <c r="BC7" i="1" s="1"/>
  <c r="Q9" i="1"/>
  <c r="AH8" i="1"/>
  <c r="I189" i="2" s="1"/>
  <c r="Y8" i="1"/>
  <c r="AA8" i="1"/>
  <c r="I31" i="2" s="1"/>
  <c r="J455" i="2"/>
  <c r="AE10" i="1"/>
  <c r="AX10" i="1"/>
  <c r="AC10" i="1"/>
  <c r="AD10" i="1"/>
  <c r="AI13" i="1"/>
  <c r="AV10" i="1"/>
  <c r="J502" i="2" s="1"/>
  <c r="P10" i="1"/>
  <c r="Q10" i="1"/>
  <c r="Z10" i="1"/>
  <c r="AU10" i="1"/>
  <c r="J456" i="2" s="1"/>
  <c r="BB9" i="1"/>
  <c r="AY9" i="1"/>
  <c r="AG15" i="1"/>
  <c r="R11" i="1"/>
  <c r="O11" i="1"/>
  <c r="AB11" i="1"/>
  <c r="N12" i="1"/>
  <c r="AZ11" i="1"/>
  <c r="BA11" i="1" s="1"/>
  <c r="J410" i="2" s="1"/>
  <c r="F34" i="2"/>
  <c r="F87" i="2" s="1"/>
  <c r="F137" i="2" s="1"/>
  <c r="F192" i="2" s="1"/>
  <c r="F243" i="2" s="1"/>
  <c r="I343" i="2" l="1"/>
  <c r="I291" i="2"/>
  <c r="AN8" i="1"/>
  <c r="AP10" i="1"/>
  <c r="I344" i="2"/>
  <c r="G410" i="2"/>
  <c r="G457" i="2" s="1"/>
  <c r="G503" i="2" s="1"/>
  <c r="F294" i="2"/>
  <c r="F345" i="2" s="1"/>
  <c r="S9" i="1"/>
  <c r="I85" i="2" s="1"/>
  <c r="AM9" i="1"/>
  <c r="S10" i="1"/>
  <c r="I86" i="2" s="1"/>
  <c r="AM10" i="1"/>
  <c r="AP9" i="1"/>
  <c r="AA9" i="1"/>
  <c r="I32" i="2" s="1"/>
  <c r="AF9" i="1"/>
  <c r="W9" i="1"/>
  <c r="I135" i="2" s="1"/>
  <c r="Y9" i="1"/>
  <c r="AJ9" i="1"/>
  <c r="I241" i="2" s="1"/>
  <c r="AH9" i="1"/>
  <c r="I190" i="2" s="1"/>
  <c r="BC8" i="1"/>
  <c r="AJ10" i="1"/>
  <c r="I242" i="2" s="1"/>
  <c r="BB10" i="1"/>
  <c r="BC9" i="1" s="1"/>
  <c r="AY10" i="1"/>
  <c r="AG16" i="1"/>
  <c r="W10" i="1"/>
  <c r="I136" i="2" s="1"/>
  <c r="AA10" i="1"/>
  <c r="I33" i="2" s="1"/>
  <c r="AI14" i="1"/>
  <c r="AH10" i="1"/>
  <c r="I191" i="2" s="1"/>
  <c r="N13" i="1"/>
  <c r="O12" i="1"/>
  <c r="AZ12" i="1"/>
  <c r="BA12" i="1" s="1"/>
  <c r="J411" i="2" s="1"/>
  <c r="AB12" i="1"/>
  <c r="F35" i="2"/>
  <c r="F88" i="2" s="1"/>
  <c r="F138" i="2" s="1"/>
  <c r="F193" i="2" s="1"/>
  <c r="F244" i="2" s="1"/>
  <c r="R12" i="1"/>
  <c r="Y10" i="1"/>
  <c r="AX11" i="1"/>
  <c r="AC11" i="1"/>
  <c r="AD11" i="1"/>
  <c r="AE11" i="1"/>
  <c r="Q11" i="1"/>
  <c r="P11" i="1"/>
  <c r="Z11" i="1"/>
  <c r="AV11" i="1"/>
  <c r="AU11" i="1"/>
  <c r="J457" i="2" s="1"/>
  <c r="AF10" i="1"/>
  <c r="I345" i="2" l="1"/>
  <c r="I293" i="2"/>
  <c r="AN10" i="1"/>
  <c r="I292" i="2"/>
  <c r="AN9" i="1"/>
  <c r="G411" i="2"/>
  <c r="G458" i="2" s="1"/>
  <c r="G504" i="2" s="1"/>
  <c r="F295" i="2"/>
  <c r="F346" i="2" s="1"/>
  <c r="AH11" i="1"/>
  <c r="I192" i="2" s="1"/>
  <c r="AM11" i="1"/>
  <c r="AP11" i="1"/>
  <c r="Y11" i="1"/>
  <c r="Q12" i="1"/>
  <c r="AV12" i="1"/>
  <c r="J504" i="2" s="1"/>
  <c r="P12" i="1"/>
  <c r="Z12" i="1"/>
  <c r="AU12" i="1"/>
  <c r="AG17" i="1"/>
  <c r="N14" i="1"/>
  <c r="R13" i="1"/>
  <c r="O13" i="1"/>
  <c r="F36" i="2"/>
  <c r="F89" i="2" s="1"/>
  <c r="F139" i="2" s="1"/>
  <c r="F194" i="2" s="1"/>
  <c r="F245" i="2" s="1"/>
  <c r="AZ13" i="1"/>
  <c r="BA13" i="1" s="1"/>
  <c r="J412" i="2" s="1"/>
  <c r="AB13" i="1"/>
  <c r="AX12" i="1"/>
  <c r="AC12" i="1"/>
  <c r="AD12" i="1"/>
  <c r="AE12" i="1"/>
  <c r="AF11" i="1"/>
  <c r="BB11" i="1"/>
  <c r="AY11" i="1"/>
  <c r="AJ11" i="1"/>
  <c r="I243" i="2" s="1"/>
  <c r="J503" i="2"/>
  <c r="AI15" i="1"/>
  <c r="W11" i="1"/>
  <c r="AA11" i="1"/>
  <c r="I34" i="2" s="1"/>
  <c r="S11" i="1"/>
  <c r="I294" i="2" l="1"/>
  <c r="AN11" i="1"/>
  <c r="I346" i="2"/>
  <c r="G412" i="2"/>
  <c r="G459" i="2" s="1"/>
  <c r="G505" i="2" s="1"/>
  <c r="F296" i="2"/>
  <c r="F347" i="2" s="1"/>
  <c r="AM12" i="1"/>
  <c r="AP12" i="1"/>
  <c r="AF12" i="1"/>
  <c r="J458" i="2"/>
  <c r="W12" i="1"/>
  <c r="I138" i="2" s="1"/>
  <c r="AA12" i="1"/>
  <c r="I35" i="2" s="1"/>
  <c r="P13" i="1"/>
  <c r="Q13" i="1"/>
  <c r="AV13" i="1"/>
  <c r="Z13" i="1"/>
  <c r="AU13" i="1"/>
  <c r="J459" i="2" s="1"/>
  <c r="AJ12" i="1"/>
  <c r="I244" i="2" s="1"/>
  <c r="BB12" i="1"/>
  <c r="BC11" i="1" s="1"/>
  <c r="AY12" i="1"/>
  <c r="AH12" i="1"/>
  <c r="BC10" i="1"/>
  <c r="S12" i="1"/>
  <c r="I88" i="2" s="1"/>
  <c r="AE13" i="1"/>
  <c r="AD13" i="1"/>
  <c r="AX13" i="1"/>
  <c r="AC13" i="1"/>
  <c r="I87" i="2"/>
  <c r="N15" i="1"/>
  <c r="O14" i="1"/>
  <c r="AB14" i="1"/>
  <c r="R14" i="1"/>
  <c r="AZ14" i="1"/>
  <c r="BA14" i="1" s="1"/>
  <c r="J413" i="2" s="1"/>
  <c r="F37" i="2"/>
  <c r="F90" i="2" s="1"/>
  <c r="F140" i="2" s="1"/>
  <c r="F195" i="2" s="1"/>
  <c r="F246" i="2" s="1"/>
  <c r="Y12" i="1"/>
  <c r="I137" i="2"/>
  <c r="AG18" i="1"/>
  <c r="AI16" i="1"/>
  <c r="AP13" i="1" l="1"/>
  <c r="I347" i="2"/>
  <c r="I295" i="2"/>
  <c r="AN12" i="1"/>
  <c r="G413" i="2"/>
  <c r="G460" i="2" s="1"/>
  <c r="G506" i="2" s="1"/>
  <c r="F297" i="2"/>
  <c r="F348" i="2" s="1"/>
  <c r="AH13" i="1"/>
  <c r="I194" i="2" s="1"/>
  <c r="AM13" i="1"/>
  <c r="AJ13" i="1"/>
  <c r="I245" i="2" s="1"/>
  <c r="Y13" i="1"/>
  <c r="J505" i="2"/>
  <c r="AC14" i="1"/>
  <c r="AD14" i="1"/>
  <c r="AE14" i="1"/>
  <c r="AX14" i="1"/>
  <c r="AI17" i="1"/>
  <c r="AV14" i="1"/>
  <c r="J506" i="2" s="1"/>
  <c r="P14" i="1"/>
  <c r="Q14" i="1"/>
  <c r="AU14" i="1"/>
  <c r="J460" i="2" s="1"/>
  <c r="Z14" i="1"/>
  <c r="I193" i="2"/>
  <c r="W13" i="1"/>
  <c r="I139" i="2" s="1"/>
  <c r="AA13" i="1"/>
  <c r="I36" i="2" s="1"/>
  <c r="R15" i="1"/>
  <c r="AB15" i="1"/>
  <c r="N16" i="1"/>
  <c r="O15" i="1"/>
  <c r="F38" i="2"/>
  <c r="F91" i="2" s="1"/>
  <c r="F141" i="2" s="1"/>
  <c r="F196" i="2" s="1"/>
  <c r="F247" i="2" s="1"/>
  <c r="AZ15" i="1"/>
  <c r="BA15" i="1" s="1"/>
  <c r="J414" i="2" s="1"/>
  <c r="AG19" i="1"/>
  <c r="S13" i="1"/>
  <c r="I89" i="2" s="1"/>
  <c r="AF13" i="1"/>
  <c r="BB13" i="1"/>
  <c r="BC12" i="1" s="1"/>
  <c r="AY13" i="1"/>
  <c r="I348" i="2" l="1"/>
  <c r="I296" i="2"/>
  <c r="AN13" i="1"/>
  <c r="G414" i="2"/>
  <c r="G461" i="2" s="1"/>
  <c r="G507" i="2" s="1"/>
  <c r="F298" i="2"/>
  <c r="F349" i="2" s="1"/>
  <c r="AH14" i="1"/>
  <c r="I195" i="2" s="1"/>
  <c r="AM14" i="1"/>
  <c r="AP14" i="1"/>
  <c r="Y14" i="1"/>
  <c r="AI18" i="1"/>
  <c r="S14" i="1"/>
  <c r="I90" i="2" s="1"/>
  <c r="AG20" i="1"/>
  <c r="AY14" i="1"/>
  <c r="BB14" i="1"/>
  <c r="W14" i="1"/>
  <c r="I140" i="2" s="1"/>
  <c r="AA14" i="1"/>
  <c r="I37" i="2" s="1"/>
  <c r="AF14" i="1"/>
  <c r="AV15" i="1"/>
  <c r="J507" i="2" s="1"/>
  <c r="P15" i="1"/>
  <c r="AU15" i="1"/>
  <c r="J461" i="2" s="1"/>
  <c r="Q15" i="1"/>
  <c r="Z15" i="1"/>
  <c r="AJ14" i="1"/>
  <c r="I246" i="2" s="1"/>
  <c r="O16" i="1"/>
  <c r="AB16" i="1"/>
  <c r="N17" i="1"/>
  <c r="R16" i="1"/>
  <c r="AZ16" i="1"/>
  <c r="BA16" i="1" s="1"/>
  <c r="J415" i="2" s="1"/>
  <c r="F39" i="2"/>
  <c r="F92" i="2" s="1"/>
  <c r="F142" i="2" s="1"/>
  <c r="F197" i="2" s="1"/>
  <c r="F248" i="2" s="1"/>
  <c r="AX15" i="1"/>
  <c r="AD15" i="1"/>
  <c r="AE15" i="1"/>
  <c r="AC15" i="1"/>
  <c r="AP15" i="1" l="1"/>
  <c r="I349" i="2"/>
  <c r="I297" i="2"/>
  <c r="AN14" i="1"/>
  <c r="G415" i="2"/>
  <c r="G462" i="2" s="1"/>
  <c r="G508" i="2" s="1"/>
  <c r="F299" i="2"/>
  <c r="F350" i="2" s="1"/>
  <c r="AM15" i="1"/>
  <c r="AF15" i="1"/>
  <c r="AX16" i="1"/>
  <c r="AE16" i="1"/>
  <c r="AD16" i="1"/>
  <c r="AC16" i="1"/>
  <c r="AI19" i="1"/>
  <c r="BB15" i="1"/>
  <c r="AY15" i="1"/>
  <c r="W15" i="1"/>
  <c r="I141" i="2" s="1"/>
  <c r="AA15" i="1"/>
  <c r="I38" i="2" s="1"/>
  <c r="AV16" i="1"/>
  <c r="J508" i="2" s="1"/>
  <c r="AU16" i="1"/>
  <c r="J462" i="2" s="1"/>
  <c r="P16" i="1"/>
  <c r="Z16" i="1"/>
  <c r="Q16" i="1"/>
  <c r="BC13" i="1"/>
  <c r="AJ15" i="1"/>
  <c r="I247" i="2" s="1"/>
  <c r="AG21" i="1"/>
  <c r="AH15" i="1"/>
  <c r="I196" i="2" s="1"/>
  <c r="Y15" i="1"/>
  <c r="AB17" i="1"/>
  <c r="O17" i="1"/>
  <c r="R17" i="1"/>
  <c r="N18" i="1"/>
  <c r="AZ17" i="1"/>
  <c r="BA17" i="1" s="1"/>
  <c r="J416" i="2" s="1"/>
  <c r="F40" i="2"/>
  <c r="F93" i="2" s="1"/>
  <c r="F143" i="2" s="1"/>
  <c r="F198" i="2" s="1"/>
  <c r="F249" i="2" s="1"/>
  <c r="S15" i="1"/>
  <c r="I91" i="2" s="1"/>
  <c r="AP16" i="1" l="1"/>
  <c r="I350" i="2"/>
  <c r="I298" i="2"/>
  <c r="AN15" i="1"/>
  <c r="G416" i="2"/>
  <c r="G463" i="2" s="1"/>
  <c r="G510" i="2" s="1"/>
  <c r="F300" i="2"/>
  <c r="F351" i="2" s="1"/>
  <c r="AH16" i="1"/>
  <c r="I197" i="2" s="1"/>
  <c r="AM16" i="1"/>
  <c r="AF16" i="1"/>
  <c r="Y16" i="1"/>
  <c r="S16" i="1"/>
  <c r="I92" i="2" s="1"/>
  <c r="AJ16" i="1"/>
  <c r="I248" i="2" s="1"/>
  <c r="AG22" i="1"/>
  <c r="AI20" i="1"/>
  <c r="AX17" i="1"/>
  <c r="AC17" i="1"/>
  <c r="AD17" i="1"/>
  <c r="AE17" i="1"/>
  <c r="Q17" i="1"/>
  <c r="P17" i="1"/>
  <c r="Z17" i="1"/>
  <c r="AU17" i="1"/>
  <c r="J463" i="2" s="1"/>
  <c r="AV17" i="1"/>
  <c r="J510" i="2" s="1"/>
  <c r="N19" i="1"/>
  <c r="AB18" i="1"/>
  <c r="O18" i="1"/>
  <c r="R18" i="1"/>
  <c r="AZ18" i="1"/>
  <c r="BA18" i="1" s="1"/>
  <c r="J417" i="2" s="1"/>
  <c r="F41" i="2"/>
  <c r="F94" i="2" s="1"/>
  <c r="F144" i="2" s="1"/>
  <c r="F199" i="2" s="1"/>
  <c r="F250" i="2" s="1"/>
  <c r="W16" i="1"/>
  <c r="I142" i="2" s="1"/>
  <c r="AA16" i="1"/>
  <c r="I39" i="2" s="1"/>
  <c r="BB16" i="1"/>
  <c r="BC15" i="1" s="1"/>
  <c r="AY16" i="1"/>
  <c r="BC14" i="1"/>
  <c r="I299" i="2" l="1"/>
  <c r="AN16" i="1"/>
  <c r="AP17" i="1"/>
  <c r="I351" i="2"/>
  <c r="G417" i="2"/>
  <c r="G464" i="2" s="1"/>
  <c r="G511" i="2" s="1"/>
  <c r="F301" i="2"/>
  <c r="F352" i="2" s="1"/>
  <c r="AH17" i="1"/>
  <c r="I198" i="2" s="1"/>
  <c r="AM17" i="1"/>
  <c r="W17" i="1"/>
  <c r="I143" i="2" s="1"/>
  <c r="AA17" i="1"/>
  <c r="I40" i="2" s="1"/>
  <c r="AF17" i="1"/>
  <c r="BB17" i="1"/>
  <c r="BC17" i="1" s="1"/>
  <c r="AY17" i="1"/>
  <c r="P18" i="1"/>
  <c r="AV18" i="1"/>
  <c r="J511" i="2" s="1"/>
  <c r="Q18" i="1"/>
  <c r="Z18" i="1"/>
  <c r="AU18" i="1"/>
  <c r="J464" i="2" s="1"/>
  <c r="AI21" i="1"/>
  <c r="AX18" i="1"/>
  <c r="AD18" i="1"/>
  <c r="AE18" i="1"/>
  <c r="AC18" i="1"/>
  <c r="AJ17" i="1"/>
  <c r="I249" i="2" s="1"/>
  <c r="R19" i="1"/>
  <c r="N20" i="1"/>
  <c r="AB19" i="1"/>
  <c r="O19" i="1"/>
  <c r="F42" i="2"/>
  <c r="F95" i="2" s="1"/>
  <c r="F145" i="2" s="1"/>
  <c r="F200" i="2" s="1"/>
  <c r="F251" i="2" s="1"/>
  <c r="AZ19" i="1"/>
  <c r="BA19" i="1" s="1"/>
  <c r="J418" i="2" s="1"/>
  <c r="Y17" i="1"/>
  <c r="AG23" i="1"/>
  <c r="S17" i="1"/>
  <c r="I93" i="2" s="1"/>
  <c r="I300" i="2" l="1"/>
  <c r="AN17" i="1"/>
  <c r="AP18" i="1"/>
  <c r="I352" i="2"/>
  <c r="G418" i="2"/>
  <c r="G465" i="2" s="1"/>
  <c r="G512" i="2" s="1"/>
  <c r="F302" i="2"/>
  <c r="F353" i="2" s="1"/>
  <c r="S18" i="1"/>
  <c r="I94" i="2" s="1"/>
  <c r="AM18" i="1"/>
  <c r="AF18" i="1"/>
  <c r="AJ18" i="1"/>
  <c r="I250" i="2" s="1"/>
  <c r="AH18" i="1"/>
  <c r="I199" i="2" s="1"/>
  <c r="AG24" i="1"/>
  <c r="BC16" i="1"/>
  <c r="BB18" i="1"/>
  <c r="BC18" i="1" s="1"/>
  <c r="AY18" i="1"/>
  <c r="Y18" i="1"/>
  <c r="AI22" i="1"/>
  <c r="W18" i="1"/>
  <c r="I144" i="2" s="1"/>
  <c r="AA18" i="1"/>
  <c r="I41" i="2" s="1"/>
  <c r="N21" i="1"/>
  <c r="O20" i="1"/>
  <c r="R20" i="1"/>
  <c r="AB20" i="1"/>
  <c r="AZ20" i="1"/>
  <c r="BA20" i="1" s="1"/>
  <c r="J419" i="2" s="1"/>
  <c r="F43" i="2"/>
  <c r="F96" i="2" s="1"/>
  <c r="F146" i="2" s="1"/>
  <c r="F201" i="2" s="1"/>
  <c r="F252" i="2" s="1"/>
  <c r="AV19" i="1"/>
  <c r="J512" i="2" s="1"/>
  <c r="P19" i="1"/>
  <c r="Q19" i="1"/>
  <c r="Z19" i="1"/>
  <c r="AU19" i="1"/>
  <c r="J465" i="2" s="1"/>
  <c r="AX19" i="1"/>
  <c r="AE19" i="1"/>
  <c r="AC19" i="1"/>
  <c r="AD19" i="1"/>
  <c r="I301" i="2" l="1"/>
  <c r="AN18" i="1"/>
  <c r="AP19" i="1"/>
  <c r="I353" i="2"/>
  <c r="G419" i="2"/>
  <c r="G466" i="2" s="1"/>
  <c r="G513" i="2" s="1"/>
  <c r="F303" i="2"/>
  <c r="F354" i="2" s="1"/>
  <c r="S19" i="1"/>
  <c r="I95" i="2" s="1"/>
  <c r="AM19" i="1"/>
  <c r="AF19" i="1"/>
  <c r="AJ19" i="1"/>
  <c r="I251" i="2" s="1"/>
  <c r="W19" i="1"/>
  <c r="I145" i="2" s="1"/>
  <c r="AA19" i="1"/>
  <c r="I42" i="2" s="1"/>
  <c r="AC20" i="1"/>
  <c r="AD20" i="1"/>
  <c r="AX20" i="1"/>
  <c r="AE20" i="1"/>
  <c r="AH19" i="1"/>
  <c r="I200" i="2" s="1"/>
  <c r="AV20" i="1"/>
  <c r="J513" i="2" s="1"/>
  <c r="Q20" i="1"/>
  <c r="P20" i="1"/>
  <c r="I354" i="2" s="1"/>
  <c r="Z20" i="1"/>
  <c r="AU20" i="1"/>
  <c r="J466" i="2" s="1"/>
  <c r="AG25" i="1"/>
  <c r="N22" i="1"/>
  <c r="AB21" i="1"/>
  <c r="O21" i="1"/>
  <c r="AZ21" i="1"/>
  <c r="BA21" i="1" s="1"/>
  <c r="J420" i="2" s="1"/>
  <c r="R21" i="1"/>
  <c r="F44" i="2"/>
  <c r="F97" i="2" s="1"/>
  <c r="F147" i="2" s="1"/>
  <c r="F202" i="2" s="1"/>
  <c r="F253" i="2" s="1"/>
  <c r="BB19" i="1"/>
  <c r="BC19" i="1" s="1"/>
  <c r="AY19" i="1"/>
  <c r="Y19" i="1"/>
  <c r="AI23" i="1"/>
  <c r="I302" i="2" l="1"/>
  <c r="AN19" i="1"/>
  <c r="G420" i="2"/>
  <c r="G467" i="2" s="1"/>
  <c r="G514" i="2" s="1"/>
  <c r="F304" i="2"/>
  <c r="F355" i="2" s="1"/>
  <c r="AH20" i="1"/>
  <c r="I201" i="2" s="1"/>
  <c r="AM20" i="1"/>
  <c r="AP20" i="1"/>
  <c r="AJ20" i="1"/>
  <c r="I252" i="2" s="1"/>
  <c r="Y20" i="1"/>
  <c r="S20" i="1"/>
  <c r="I96" i="2" s="1"/>
  <c r="O22" i="1"/>
  <c r="AB22" i="1"/>
  <c r="AZ22" i="1"/>
  <c r="BA22" i="1" s="1"/>
  <c r="J421" i="2" s="1"/>
  <c r="F45" i="2"/>
  <c r="F98" i="2" s="1"/>
  <c r="F148" i="2" s="1"/>
  <c r="F203" i="2" s="1"/>
  <c r="F254" i="2" s="1"/>
  <c r="N23" i="1"/>
  <c r="R22" i="1"/>
  <c r="AX21" i="1"/>
  <c r="AD21" i="1"/>
  <c r="AE21" i="1"/>
  <c r="AC21" i="1"/>
  <c r="AI24" i="1"/>
  <c r="BB20" i="1"/>
  <c r="BC20" i="1" s="1"/>
  <c r="AY20" i="1"/>
  <c r="P21" i="1"/>
  <c r="AV21" i="1"/>
  <c r="J514" i="2" s="1"/>
  <c r="Q21" i="1"/>
  <c r="Z21" i="1"/>
  <c r="AU21" i="1"/>
  <c r="J467" i="2" s="1"/>
  <c r="AF20" i="1"/>
  <c r="W20" i="1"/>
  <c r="I146" i="2" s="1"/>
  <c r="AA20" i="1"/>
  <c r="I43" i="2" s="1"/>
  <c r="AP21" i="1" l="1"/>
  <c r="I355" i="2"/>
  <c r="I303" i="2"/>
  <c r="AN20" i="1"/>
  <c r="G421" i="2"/>
  <c r="G468" i="2" s="1"/>
  <c r="G515" i="2" s="1"/>
  <c r="F305" i="2"/>
  <c r="F356" i="2" s="1"/>
  <c r="AJ21" i="1"/>
  <c r="I253" i="2" s="1"/>
  <c r="AM21" i="1"/>
  <c r="AF21" i="1"/>
  <c r="BB21" i="1"/>
  <c r="BC21" i="1" s="1"/>
  <c r="AY21" i="1"/>
  <c r="W21" i="1"/>
  <c r="I147" i="2" s="1"/>
  <c r="AA21" i="1"/>
  <c r="I44" i="2" s="1"/>
  <c r="AH21" i="1"/>
  <c r="I202" i="2" s="1"/>
  <c r="Y21" i="1"/>
  <c r="R23" i="1"/>
  <c r="O23" i="1"/>
  <c r="N24" i="1"/>
  <c r="AB23" i="1"/>
  <c r="AZ23" i="1"/>
  <c r="BA23" i="1" s="1"/>
  <c r="J422" i="2" s="1"/>
  <c r="F46" i="2"/>
  <c r="F99" i="2" s="1"/>
  <c r="F149" i="2" s="1"/>
  <c r="F204" i="2" s="1"/>
  <c r="F255" i="2" s="1"/>
  <c r="S21" i="1"/>
  <c r="I97" i="2" s="1"/>
  <c r="AX22" i="1"/>
  <c r="AE22" i="1"/>
  <c r="AC22" i="1"/>
  <c r="AD22" i="1"/>
  <c r="AI25" i="1"/>
  <c r="AV22" i="1"/>
  <c r="J515" i="2" s="1"/>
  <c r="Q22" i="1"/>
  <c r="P22" i="1"/>
  <c r="Z22" i="1"/>
  <c r="AU22" i="1"/>
  <c r="J468" i="2" s="1"/>
  <c r="I304" i="2" l="1"/>
  <c r="AN21" i="1"/>
  <c r="I356" i="2"/>
  <c r="G422" i="2"/>
  <c r="G469" i="2" s="1"/>
  <c r="G516" i="2" s="1"/>
  <c r="F306" i="2"/>
  <c r="F357" i="2" s="1"/>
  <c r="S22" i="1"/>
  <c r="I98" i="2" s="1"/>
  <c r="AM22" i="1"/>
  <c r="AP22" i="1"/>
  <c r="AV23" i="1"/>
  <c r="J516" i="2" s="1"/>
  <c r="Q23" i="1"/>
  <c r="P23" i="1"/>
  <c r="Z23" i="1"/>
  <c r="AU23" i="1"/>
  <c r="J469" i="2" s="1"/>
  <c r="AJ22" i="1"/>
  <c r="I254" i="2" s="1"/>
  <c r="BB22" i="1"/>
  <c r="BC22" i="1" s="1"/>
  <c r="AY22" i="1"/>
  <c r="AH22" i="1"/>
  <c r="I203" i="2" s="1"/>
  <c r="Y22" i="1"/>
  <c r="AF22" i="1"/>
  <c r="W22" i="1"/>
  <c r="I148" i="2" s="1"/>
  <c r="AA22" i="1"/>
  <c r="I45" i="2" s="1"/>
  <c r="AX23" i="1"/>
  <c r="AC23" i="1"/>
  <c r="AD23" i="1"/>
  <c r="AE23" i="1"/>
  <c r="AB24" i="1"/>
  <c r="O24" i="1"/>
  <c r="N25" i="1"/>
  <c r="F47" i="2"/>
  <c r="F100" i="2" s="1"/>
  <c r="F150" i="2" s="1"/>
  <c r="F205" i="2" s="1"/>
  <c r="F256" i="2" s="1"/>
  <c r="R24" i="1"/>
  <c r="AZ24" i="1"/>
  <c r="BA24" i="1" s="1"/>
  <c r="J423" i="2" s="1"/>
  <c r="AP23" i="1" l="1"/>
  <c r="I357" i="2"/>
  <c r="I305" i="2"/>
  <c r="AN22" i="1"/>
  <c r="G423" i="2"/>
  <c r="G470" i="2" s="1"/>
  <c r="G517" i="2" s="1"/>
  <c r="F307" i="2"/>
  <c r="F358" i="2" s="1"/>
  <c r="S23" i="1"/>
  <c r="I99" i="2" s="1"/>
  <c r="AM23" i="1"/>
  <c r="AX24" i="1"/>
  <c r="AD24" i="1"/>
  <c r="AE24" i="1"/>
  <c r="AC24" i="1"/>
  <c r="AJ23" i="1"/>
  <c r="I255" i="2" s="1"/>
  <c r="Q24" i="1"/>
  <c r="AV24" i="1"/>
  <c r="J517" i="2" s="1"/>
  <c r="Z24" i="1"/>
  <c r="P24" i="1"/>
  <c r="AU24" i="1"/>
  <c r="J470" i="2" s="1"/>
  <c r="AH23" i="1"/>
  <c r="I204" i="2" s="1"/>
  <c r="AF23" i="1"/>
  <c r="BB23" i="1"/>
  <c r="BC23" i="1" s="1"/>
  <c r="AY23" i="1"/>
  <c r="Y23" i="1"/>
  <c r="W23" i="1"/>
  <c r="I149" i="2" s="1"/>
  <c r="AA23" i="1"/>
  <c r="I46" i="2" s="1"/>
  <c r="N26" i="1"/>
  <c r="R25" i="1"/>
  <c r="F48" i="2"/>
  <c r="F101" i="2" s="1"/>
  <c r="F151" i="2" s="1"/>
  <c r="F206" i="2" s="1"/>
  <c r="F257" i="2" s="1"/>
  <c r="O25" i="1"/>
  <c r="AZ25" i="1"/>
  <c r="BA25" i="1" s="1"/>
  <c r="J424" i="2" s="1"/>
  <c r="AB25" i="1"/>
  <c r="I306" i="2" l="1"/>
  <c r="AN23" i="1"/>
  <c r="AP24" i="1"/>
  <c r="I358" i="2"/>
  <c r="G424" i="2"/>
  <c r="G471" i="2" s="1"/>
  <c r="G518" i="2" s="1"/>
  <c r="F308" i="2"/>
  <c r="F359" i="2" s="1"/>
  <c r="AH24" i="1"/>
  <c r="I205" i="2" s="1"/>
  <c r="AM24" i="1"/>
  <c r="AF24" i="1"/>
  <c r="AJ24" i="1"/>
  <c r="I256" i="2" s="1"/>
  <c r="Y24" i="1"/>
  <c r="S24" i="1"/>
  <c r="I100" i="2" s="1"/>
  <c r="AE25" i="1"/>
  <c r="AX25" i="1"/>
  <c r="AC25" i="1"/>
  <c r="AD25" i="1"/>
  <c r="W24" i="1"/>
  <c r="I150" i="2" s="1"/>
  <c r="AA24" i="1"/>
  <c r="I47" i="2" s="1"/>
  <c r="N27" i="1"/>
  <c r="O26" i="1"/>
  <c r="AB26" i="1"/>
  <c r="R26" i="1"/>
  <c r="AZ26" i="1"/>
  <c r="BA26" i="1" s="1"/>
  <c r="J425" i="2" s="1"/>
  <c r="P29" i="2"/>
  <c r="P82" i="2" s="1"/>
  <c r="P132" i="2" s="1"/>
  <c r="P187" i="2" s="1"/>
  <c r="P238" i="2" s="1"/>
  <c r="F49" i="2"/>
  <c r="F102" i="2" s="1"/>
  <c r="F152" i="2" s="1"/>
  <c r="F207" i="2" s="1"/>
  <c r="F258" i="2" s="1"/>
  <c r="AK23" i="1"/>
  <c r="AK24" i="1"/>
  <c r="P25" i="1"/>
  <c r="Q25" i="1"/>
  <c r="AU25" i="1"/>
  <c r="J471" i="2" s="1"/>
  <c r="Z25" i="1"/>
  <c r="AV25" i="1"/>
  <c r="J518" i="2" s="1"/>
  <c r="BB24" i="1"/>
  <c r="BC24" i="1" s="1"/>
  <c r="AY24" i="1"/>
  <c r="I307" i="2" l="1"/>
  <c r="AN24" i="1"/>
  <c r="AP25" i="1"/>
  <c r="I359" i="2"/>
  <c r="G425" i="2"/>
  <c r="G472" i="2" s="1"/>
  <c r="G519" i="2" s="1"/>
  <c r="F309" i="2"/>
  <c r="F360" i="2" s="1"/>
  <c r="Q405" i="2"/>
  <c r="Q452" i="2" s="1"/>
  <c r="Q498" i="2" s="1"/>
  <c r="P289" i="2"/>
  <c r="P340" i="2" s="1"/>
  <c r="AH25" i="1"/>
  <c r="I206" i="2" s="1"/>
  <c r="I208" i="2" s="1"/>
  <c r="AM25" i="1"/>
  <c r="AJ25" i="1"/>
  <c r="I257" i="2" s="1"/>
  <c r="AF25" i="1"/>
  <c r="W25" i="1"/>
  <c r="I151" i="2" s="1"/>
  <c r="AA25" i="1"/>
  <c r="I48" i="2" s="1"/>
  <c r="BB25" i="1"/>
  <c r="BC25" i="1" s="1"/>
  <c r="AY25" i="1"/>
  <c r="AX26" i="1"/>
  <c r="AC26" i="1"/>
  <c r="AD26" i="1"/>
  <c r="AE26" i="1"/>
  <c r="Y25" i="1"/>
  <c r="AV26" i="1"/>
  <c r="P26" i="1"/>
  <c r="AU26" i="1"/>
  <c r="Q26" i="1"/>
  <c r="Z26" i="1"/>
  <c r="S25" i="1"/>
  <c r="I101" i="2" s="1"/>
  <c r="O27" i="1"/>
  <c r="T27" i="1" s="1"/>
  <c r="AB27" i="1"/>
  <c r="P30" i="2"/>
  <c r="P83" i="2" s="1"/>
  <c r="P133" i="2" s="1"/>
  <c r="P188" i="2" s="1"/>
  <c r="P239" i="2" s="1"/>
  <c r="N28" i="1"/>
  <c r="AP26" i="1" l="1"/>
  <c r="I308" i="2"/>
  <c r="AN25" i="1"/>
  <c r="Q406" i="2"/>
  <c r="Q453" i="2" s="1"/>
  <c r="Q499" i="2" s="1"/>
  <c r="P290" i="2"/>
  <c r="P341" i="2" s="1"/>
  <c r="S26" i="1"/>
  <c r="I102" i="2" s="1"/>
  <c r="I103" i="2" s="1"/>
  <c r="AM26" i="1"/>
  <c r="BB26" i="1"/>
  <c r="BC26" i="1" s="1"/>
  <c r="AY26" i="1"/>
  <c r="AX27" i="1"/>
  <c r="AD27" i="1"/>
  <c r="AE27" i="1"/>
  <c r="AC27" i="1"/>
  <c r="AF26" i="1"/>
  <c r="Y26" i="1"/>
  <c r="J519" i="2"/>
  <c r="T498" i="2"/>
  <c r="O28" i="1"/>
  <c r="AB28" i="1"/>
  <c r="AX28" i="1" s="1"/>
  <c r="N29" i="1"/>
  <c r="P31" i="2"/>
  <c r="P84" i="2" s="1"/>
  <c r="P134" i="2" s="1"/>
  <c r="P189" i="2" s="1"/>
  <c r="P240" i="2" s="1"/>
  <c r="Q27" i="1"/>
  <c r="P27" i="1"/>
  <c r="AP27" i="1" s="1"/>
  <c r="U27" i="1"/>
  <c r="AV27" i="1"/>
  <c r="T499" i="2" s="1"/>
  <c r="AT27" i="1"/>
  <c r="T453" i="2" s="1"/>
  <c r="AY28" i="1"/>
  <c r="BC29" i="1" s="1"/>
  <c r="T406" i="2" s="1"/>
  <c r="W26" i="1"/>
  <c r="AA26" i="1"/>
  <c r="AT25" i="1"/>
  <c r="J472" i="2"/>
  <c r="AU69" i="1"/>
  <c r="AU71" i="1" s="1"/>
  <c r="AU73" i="1" s="1"/>
  <c r="AU75" i="1" s="1"/>
  <c r="AJ26" i="1"/>
  <c r="S340" i="2" l="1"/>
  <c r="I360" i="2"/>
  <c r="I361" i="2" s="1"/>
  <c r="S341" i="2"/>
  <c r="Q407" i="2"/>
  <c r="Q454" i="2" s="1"/>
  <c r="Q500" i="2" s="1"/>
  <c r="P291" i="2"/>
  <c r="P342" i="2" s="1"/>
  <c r="I309" i="2"/>
  <c r="I310" i="2" s="1"/>
  <c r="S289" i="2"/>
  <c r="S82" i="2"/>
  <c r="AM27" i="1"/>
  <c r="AF27" i="1"/>
  <c r="W27" i="1"/>
  <c r="S133" i="2" s="1"/>
  <c r="BB28" i="1"/>
  <c r="BC28" i="1" s="1"/>
  <c r="T405" i="2" s="1"/>
  <c r="I152" i="2"/>
  <c r="I153" i="2" s="1"/>
  <c r="S132" i="2"/>
  <c r="AC28" i="1"/>
  <c r="AF28" i="1" s="1"/>
  <c r="Y27" i="1"/>
  <c r="AA27" i="1"/>
  <c r="S30" i="2" s="1"/>
  <c r="AJ27" i="1"/>
  <c r="S27" i="1"/>
  <c r="S83" i="2" s="1"/>
  <c r="AH27" i="1"/>
  <c r="S188" i="2" s="1"/>
  <c r="AK25" i="1"/>
  <c r="I258" i="2"/>
  <c r="I259" i="2" s="1"/>
  <c r="AY27" i="1"/>
  <c r="BB27" i="1"/>
  <c r="BC27" i="1" s="1"/>
  <c r="O29" i="1"/>
  <c r="AB29" i="1"/>
  <c r="AX29" i="1" s="1"/>
  <c r="BB29" i="1" s="1"/>
  <c r="N30" i="1"/>
  <c r="P32" i="2"/>
  <c r="P85" i="2" s="1"/>
  <c r="P135" i="2" s="1"/>
  <c r="P190" i="2" s="1"/>
  <c r="P241" i="2" s="1"/>
  <c r="I49" i="2"/>
  <c r="I50" i="2" s="1"/>
  <c r="S29" i="2"/>
  <c r="T28" i="1"/>
  <c r="P28" i="1"/>
  <c r="AP28" i="1" s="1"/>
  <c r="AY29" i="1"/>
  <c r="BC30" i="1" s="1"/>
  <c r="T407" i="2" s="1"/>
  <c r="Q28" i="1"/>
  <c r="U28" i="1"/>
  <c r="AT28" i="1"/>
  <c r="T454" i="2" s="1"/>
  <c r="AV28" i="1"/>
  <c r="T500" i="2" s="1"/>
  <c r="S290" i="2" l="1"/>
  <c r="S342" i="2"/>
  <c r="Q408" i="2"/>
  <c r="Q455" i="2" s="1"/>
  <c r="Q501" i="2" s="1"/>
  <c r="P292" i="2"/>
  <c r="P343" i="2" s="1"/>
  <c r="AM28" i="1"/>
  <c r="S291" i="2" s="1"/>
  <c r="AC29" i="1"/>
  <c r="AF29" i="1" s="1"/>
  <c r="AA28" i="1"/>
  <c r="S31" i="2" s="1"/>
  <c r="Y28" i="1"/>
  <c r="S28" i="1"/>
  <c r="S84" i="2" s="1"/>
  <c r="AJ28" i="1"/>
  <c r="AH28" i="1"/>
  <c r="S189" i="2" s="1"/>
  <c r="W28" i="1"/>
  <c r="S134" i="2" s="1"/>
  <c r="AK27" i="1"/>
  <c r="S239" i="2"/>
  <c r="N31" i="1"/>
  <c r="O30" i="1"/>
  <c r="P33" i="2"/>
  <c r="P86" i="2" s="1"/>
  <c r="P136" i="2" s="1"/>
  <c r="P191" i="2" s="1"/>
  <c r="P242" i="2" s="1"/>
  <c r="AB30" i="1"/>
  <c r="AX30" i="1" s="1"/>
  <c r="BB30" i="1" s="1"/>
  <c r="U29" i="1"/>
  <c r="AV29" i="1"/>
  <c r="T501" i="2" s="1"/>
  <c r="P29" i="1"/>
  <c r="AP29" i="1" s="1"/>
  <c r="T29" i="1"/>
  <c r="Q29" i="1"/>
  <c r="AY30" i="1"/>
  <c r="BC31" i="1" s="1"/>
  <c r="T408" i="2" s="1"/>
  <c r="AT29" i="1"/>
  <c r="T455" i="2" s="1"/>
  <c r="S343" i="2" l="1"/>
  <c r="Q409" i="2"/>
  <c r="Q456" i="2" s="1"/>
  <c r="Q502" i="2" s="1"/>
  <c r="P293" i="2"/>
  <c r="P344" i="2" s="1"/>
  <c r="AM29" i="1"/>
  <c r="AK28" i="1"/>
  <c r="S240" i="2"/>
  <c r="AV30" i="1"/>
  <c r="T502" i="2" s="1"/>
  <c r="T30" i="1"/>
  <c r="U30" i="1"/>
  <c r="Q30" i="1"/>
  <c r="P30" i="1"/>
  <c r="AP30" i="1" s="1"/>
  <c r="AY31" i="1"/>
  <c r="BC32" i="1" s="1"/>
  <c r="T409" i="2" s="1"/>
  <c r="AT30" i="1"/>
  <c r="T456" i="2" s="1"/>
  <c r="W29" i="1"/>
  <c r="S135" i="2" s="1"/>
  <c r="O31" i="1"/>
  <c r="N32" i="1"/>
  <c r="P34" i="2"/>
  <c r="P87" i="2" s="1"/>
  <c r="P137" i="2" s="1"/>
  <c r="P192" i="2" s="1"/>
  <c r="P243" i="2" s="1"/>
  <c r="AB31" i="1"/>
  <c r="AX31" i="1" s="1"/>
  <c r="BB31" i="1" s="1"/>
  <c r="AC30" i="1"/>
  <c r="AF30" i="1" s="1"/>
  <c r="AA29" i="1"/>
  <c r="S32" i="2" s="1"/>
  <c r="Y29" i="1"/>
  <c r="AH29" i="1"/>
  <c r="S190" i="2" s="1"/>
  <c r="AJ29" i="1"/>
  <c r="S29" i="1"/>
  <c r="S85" i="2" s="1"/>
  <c r="S344" i="2" l="1"/>
  <c r="S292" i="2"/>
  <c r="Q410" i="2"/>
  <c r="Q457" i="2" s="1"/>
  <c r="Q503" i="2" s="1"/>
  <c r="P294" i="2"/>
  <c r="P345" i="2" s="1"/>
  <c r="AM30" i="1"/>
  <c r="S293" i="2" s="1"/>
  <c r="AV31" i="1"/>
  <c r="T503" i="2" s="1"/>
  <c r="P31" i="1"/>
  <c r="AP31" i="1" s="1"/>
  <c r="T31" i="1"/>
  <c r="Q31" i="1"/>
  <c r="U31" i="1"/>
  <c r="AY32" i="1"/>
  <c r="BC33" i="1" s="1"/>
  <c r="T410" i="2" s="1"/>
  <c r="AT31" i="1"/>
  <c r="T457" i="2" s="1"/>
  <c r="AC31" i="1"/>
  <c r="AF31" i="1" s="1"/>
  <c r="Y30" i="1"/>
  <c r="AA30" i="1"/>
  <c r="S33" i="2" s="1"/>
  <c r="S30" i="1"/>
  <c r="S86" i="2" s="1"/>
  <c r="AH30" i="1"/>
  <c r="S191" i="2" s="1"/>
  <c r="AJ30" i="1"/>
  <c r="W30" i="1"/>
  <c r="S136" i="2" s="1"/>
  <c r="AK29" i="1"/>
  <c r="S241" i="2"/>
  <c r="AB32" i="1"/>
  <c r="AX32" i="1" s="1"/>
  <c r="BB32" i="1" s="1"/>
  <c r="N33" i="1"/>
  <c r="O32" i="1"/>
  <c r="P35" i="2"/>
  <c r="P88" i="2" s="1"/>
  <c r="P138" i="2" s="1"/>
  <c r="P193" i="2" s="1"/>
  <c r="P244" i="2" s="1"/>
  <c r="S345" i="2" l="1"/>
  <c r="Q411" i="2"/>
  <c r="Q458" i="2" s="1"/>
  <c r="Q504" i="2" s="1"/>
  <c r="P295" i="2"/>
  <c r="P346" i="2" s="1"/>
  <c r="AM31" i="1"/>
  <c r="W31" i="1"/>
  <c r="S137" i="2" s="1"/>
  <c r="U32" i="1"/>
  <c r="P32" i="1"/>
  <c r="AP32" i="1" s="1"/>
  <c r="Q32" i="1"/>
  <c r="T32" i="1"/>
  <c r="AV32" i="1"/>
  <c r="T504" i="2" s="1"/>
  <c r="AY33" i="1"/>
  <c r="BC34" i="1" s="1"/>
  <c r="T411" i="2" s="1"/>
  <c r="AT32" i="1"/>
  <c r="T458" i="2" s="1"/>
  <c r="N34" i="1"/>
  <c r="AB33" i="1"/>
  <c r="AX33" i="1" s="1"/>
  <c r="BB33" i="1" s="1"/>
  <c r="O33" i="1"/>
  <c r="P36" i="2"/>
  <c r="P89" i="2" s="1"/>
  <c r="P139" i="2" s="1"/>
  <c r="P194" i="2" s="1"/>
  <c r="P245" i="2" s="1"/>
  <c r="AC32" i="1"/>
  <c r="AF32" i="1" s="1"/>
  <c r="Y31" i="1"/>
  <c r="AA31" i="1"/>
  <c r="S34" i="2" s="1"/>
  <c r="S31" i="1"/>
  <c r="S87" i="2" s="1"/>
  <c r="AJ31" i="1"/>
  <c r="AH31" i="1"/>
  <c r="S192" i="2" s="1"/>
  <c r="AK30" i="1"/>
  <c r="S242" i="2"/>
  <c r="S294" i="2" l="1"/>
  <c r="S346" i="2"/>
  <c r="Q412" i="2"/>
  <c r="Q459" i="2" s="1"/>
  <c r="Q505" i="2" s="1"/>
  <c r="P296" i="2"/>
  <c r="P347" i="2" s="1"/>
  <c r="AM32" i="1"/>
  <c r="S295" i="2" s="1"/>
  <c r="W32" i="1"/>
  <c r="S138" i="2" s="1"/>
  <c r="P33" i="1"/>
  <c r="AP33" i="1" s="1"/>
  <c r="U33" i="1"/>
  <c r="Q33" i="1"/>
  <c r="AT33" i="1"/>
  <c r="T459" i="2" s="1"/>
  <c r="T33" i="1"/>
  <c r="AV33" i="1"/>
  <c r="T505" i="2" s="1"/>
  <c r="AY34" i="1"/>
  <c r="BC35" i="1" s="1"/>
  <c r="T412" i="2" s="1"/>
  <c r="O34" i="1"/>
  <c r="N35" i="1"/>
  <c r="AB34" i="1"/>
  <c r="AX34" i="1" s="1"/>
  <c r="BB34" i="1" s="1"/>
  <c r="P37" i="2"/>
  <c r="P90" i="2" s="1"/>
  <c r="P140" i="2" s="1"/>
  <c r="P195" i="2" s="1"/>
  <c r="P246" i="2" s="1"/>
  <c r="AC33" i="1"/>
  <c r="AF33" i="1" s="1"/>
  <c r="AH32" i="1"/>
  <c r="S193" i="2" s="1"/>
  <c r="S32" i="1"/>
  <c r="S88" i="2" s="1"/>
  <c r="Y32" i="1"/>
  <c r="AA32" i="1"/>
  <c r="S35" i="2" s="1"/>
  <c r="AJ32" i="1"/>
  <c r="AK31" i="1"/>
  <c r="S243" i="2"/>
  <c r="S347" i="2" l="1"/>
  <c r="Q413" i="2"/>
  <c r="Q460" i="2" s="1"/>
  <c r="Q506" i="2" s="1"/>
  <c r="P297" i="2"/>
  <c r="P348" i="2" s="1"/>
  <c r="AM33" i="1"/>
  <c r="W33" i="1"/>
  <c r="S139" i="2" s="1"/>
  <c r="Q34" i="1"/>
  <c r="T34" i="1"/>
  <c r="U34" i="1"/>
  <c r="AV34" i="1"/>
  <c r="T506" i="2" s="1"/>
  <c r="AT34" i="1"/>
  <c r="T460" i="2" s="1"/>
  <c r="AY35" i="1"/>
  <c r="BC36" i="1" s="1"/>
  <c r="T413" i="2" s="1"/>
  <c r="P34" i="1"/>
  <c r="AP34" i="1" s="1"/>
  <c r="S33" i="1"/>
  <c r="S89" i="2" s="1"/>
  <c r="AH33" i="1"/>
  <c r="S194" i="2" s="1"/>
  <c r="AC34" i="1"/>
  <c r="AF34" i="1" s="1"/>
  <c r="Y33" i="1"/>
  <c r="AA33" i="1"/>
  <c r="S36" i="2" s="1"/>
  <c r="AJ33" i="1"/>
  <c r="O35" i="1"/>
  <c r="N36" i="1"/>
  <c r="AB35" i="1"/>
  <c r="AX35" i="1" s="1"/>
  <c r="BB35" i="1" s="1"/>
  <c r="P38" i="2"/>
  <c r="P91" i="2" s="1"/>
  <c r="P141" i="2" s="1"/>
  <c r="P196" i="2" s="1"/>
  <c r="P247" i="2" s="1"/>
  <c r="AK32" i="1"/>
  <c r="S244" i="2"/>
  <c r="S296" i="2" l="1"/>
  <c r="S348" i="2"/>
  <c r="Q414" i="2"/>
  <c r="Q461" i="2" s="1"/>
  <c r="Q507" i="2" s="1"/>
  <c r="P298" i="2"/>
  <c r="P349" i="2" s="1"/>
  <c r="AM34" i="1"/>
  <c r="S297" i="2" s="1"/>
  <c r="N37" i="1"/>
  <c r="AB36" i="1"/>
  <c r="AX36" i="1" s="1"/>
  <c r="BB36" i="1" s="1"/>
  <c r="O36" i="1"/>
  <c r="P39" i="2"/>
  <c r="P92" i="2" s="1"/>
  <c r="P142" i="2" s="1"/>
  <c r="P197" i="2" s="1"/>
  <c r="P248" i="2" s="1"/>
  <c r="S127" i="2"/>
  <c r="P35" i="1"/>
  <c r="AP35" i="1" s="1"/>
  <c r="AV35" i="1"/>
  <c r="T507" i="2" s="1"/>
  <c r="U35" i="1"/>
  <c r="AT35" i="1"/>
  <c r="T461" i="2" s="1"/>
  <c r="T35" i="1"/>
  <c r="Q35" i="1"/>
  <c r="AY36" i="1"/>
  <c r="BC37" i="1" s="1"/>
  <c r="T414" i="2" s="1"/>
  <c r="W34" i="1"/>
  <c r="S140" i="2" s="1"/>
  <c r="AC35" i="1"/>
  <c r="AF35" i="1" s="1"/>
  <c r="AJ34" i="1"/>
  <c r="AA34" i="1"/>
  <c r="S37" i="2" s="1"/>
  <c r="Y34" i="1"/>
  <c r="AH34" i="1"/>
  <c r="S195" i="2" s="1"/>
  <c r="S34" i="1"/>
  <c r="S90" i="2" s="1"/>
  <c r="AK33" i="1"/>
  <c r="S245" i="2"/>
  <c r="S349" i="2" l="1"/>
  <c r="Q415" i="2"/>
  <c r="Q462" i="2" s="1"/>
  <c r="Q508" i="2" s="1"/>
  <c r="P299" i="2"/>
  <c r="P350" i="2" s="1"/>
  <c r="AM35" i="1"/>
  <c r="S298" i="2" s="1"/>
  <c r="AC36" i="1"/>
  <c r="AF36" i="1" s="1"/>
  <c r="AA35" i="1"/>
  <c r="S38" i="2" s="1"/>
  <c r="Y35" i="1"/>
  <c r="S35" i="1"/>
  <c r="S91" i="2" s="1"/>
  <c r="AJ35" i="1"/>
  <c r="AH35" i="1"/>
  <c r="S196" i="2" s="1"/>
  <c r="W35" i="1"/>
  <c r="S141" i="2" s="1"/>
  <c r="AK34" i="1"/>
  <c r="S246" i="2"/>
  <c r="P36" i="1"/>
  <c r="AP36" i="1" s="1"/>
  <c r="U36" i="1"/>
  <c r="AW36" i="1"/>
  <c r="T509" i="2" s="1"/>
  <c r="Q36" i="1"/>
  <c r="T36" i="1"/>
  <c r="AT36" i="1"/>
  <c r="T462" i="2" s="1"/>
  <c r="AY37" i="1"/>
  <c r="BC38" i="1" s="1"/>
  <c r="T415" i="2" s="1"/>
  <c r="AV36" i="1"/>
  <c r="O37" i="1"/>
  <c r="AB37" i="1"/>
  <c r="AX37" i="1" s="1"/>
  <c r="BB37" i="1" s="1"/>
  <c r="P40" i="2"/>
  <c r="P93" i="2" s="1"/>
  <c r="P143" i="2" s="1"/>
  <c r="P198" i="2" s="1"/>
  <c r="P249" i="2" s="1"/>
  <c r="N38" i="1"/>
  <c r="S350" i="2" l="1"/>
  <c r="Q416" i="2"/>
  <c r="Q463" i="2" s="1"/>
  <c r="Q510" i="2" s="1"/>
  <c r="P300" i="2"/>
  <c r="P351" i="2" s="1"/>
  <c r="AM36" i="1"/>
  <c r="S299" i="2" s="1"/>
  <c r="AC37" i="1"/>
  <c r="AF37" i="1" s="1"/>
  <c r="AA36" i="1"/>
  <c r="S39" i="2" s="1"/>
  <c r="Y36" i="1"/>
  <c r="S36" i="1"/>
  <c r="S92" i="2" s="1"/>
  <c r="AH36" i="1"/>
  <c r="S197" i="2" s="1"/>
  <c r="AJ36" i="1"/>
  <c r="N39" i="1"/>
  <c r="P41" i="2"/>
  <c r="P94" i="2" s="1"/>
  <c r="P144" i="2" s="1"/>
  <c r="P199" i="2" s="1"/>
  <c r="P250" i="2" s="1"/>
  <c r="O38" i="1"/>
  <c r="AB38" i="1"/>
  <c r="AX38" i="1" s="1"/>
  <c r="BB38" i="1" s="1"/>
  <c r="AK35" i="1"/>
  <c r="S247" i="2"/>
  <c r="P37" i="1"/>
  <c r="AP37" i="1" s="1"/>
  <c r="U37" i="1"/>
  <c r="T37" i="1"/>
  <c r="Q37" i="1"/>
  <c r="AW37" i="1"/>
  <c r="T510" i="2" s="1"/>
  <c r="AY38" i="1"/>
  <c r="BC39" i="1" s="1"/>
  <c r="T416" i="2" s="1"/>
  <c r="AT37" i="1"/>
  <c r="T463" i="2" s="1"/>
  <c r="W36" i="1"/>
  <c r="AW35" i="1"/>
  <c r="T508" i="2"/>
  <c r="AW69" i="1"/>
  <c r="AW71" i="1" s="1"/>
  <c r="AW73" i="1" s="1"/>
  <c r="AW75" i="1" s="1"/>
  <c r="S351" i="2" l="1"/>
  <c r="Q417" i="2"/>
  <c r="Q464" i="2" s="1"/>
  <c r="Q511" i="2" s="1"/>
  <c r="P301" i="2"/>
  <c r="P352" i="2" s="1"/>
  <c r="AM37" i="1"/>
  <c r="S300" i="2" s="1"/>
  <c r="U38" i="1"/>
  <c r="T38" i="1"/>
  <c r="Q38" i="1"/>
  <c r="P38" i="1"/>
  <c r="AP38" i="1" s="1"/>
  <c r="AY39" i="1"/>
  <c r="BC40" i="1" s="1"/>
  <c r="T417" i="2" s="1"/>
  <c r="AT38" i="1"/>
  <c r="T464" i="2" s="1"/>
  <c r="AW38" i="1"/>
  <c r="T511" i="2" s="1"/>
  <c r="AK36" i="1"/>
  <c r="S248" i="2"/>
  <c r="S142" i="2"/>
  <c r="L127" i="2"/>
  <c r="N40" i="1"/>
  <c r="O39" i="1"/>
  <c r="AB39" i="1"/>
  <c r="AX39" i="1" s="1"/>
  <c r="BB39" i="1" s="1"/>
  <c r="P42" i="2"/>
  <c r="P95" i="2" s="1"/>
  <c r="P145" i="2" s="1"/>
  <c r="P200" i="2" s="1"/>
  <c r="P251" i="2" s="1"/>
  <c r="W37" i="1"/>
  <c r="S143" i="2" s="1"/>
  <c r="S37" i="1"/>
  <c r="S93" i="2" s="1"/>
  <c r="AC38" i="1"/>
  <c r="AF38" i="1" s="1"/>
  <c r="AA37" i="1"/>
  <c r="S40" i="2" s="1"/>
  <c r="Y37" i="1"/>
  <c r="AJ37" i="1"/>
  <c r="AH37" i="1"/>
  <c r="S198" i="2" s="1"/>
  <c r="S352" i="2" l="1"/>
  <c r="Q418" i="2"/>
  <c r="Q465" i="2" s="1"/>
  <c r="Q512" i="2" s="1"/>
  <c r="P302" i="2"/>
  <c r="P353" i="2" s="1"/>
  <c r="AM38" i="1"/>
  <c r="S301" i="2" s="1"/>
  <c r="S249" i="2"/>
  <c r="AK37" i="1"/>
  <c r="O40" i="1"/>
  <c r="AB40" i="1"/>
  <c r="AX40" i="1" s="1"/>
  <c r="BB40" i="1" s="1"/>
  <c r="N41" i="1"/>
  <c r="P43" i="2"/>
  <c r="P96" i="2" s="1"/>
  <c r="P146" i="2" s="1"/>
  <c r="P201" i="2" s="1"/>
  <c r="P252" i="2" s="1"/>
  <c r="AC39" i="1"/>
  <c r="AF39" i="1" s="1"/>
  <c r="S38" i="1"/>
  <c r="S94" i="2" s="1"/>
  <c r="Y38" i="1"/>
  <c r="AA38" i="1"/>
  <c r="S41" i="2" s="1"/>
  <c r="AJ38" i="1"/>
  <c r="AH38" i="1"/>
  <c r="S199" i="2" s="1"/>
  <c r="W38" i="1"/>
  <c r="S144" i="2" s="1"/>
  <c r="Q39" i="1"/>
  <c r="P39" i="1"/>
  <c r="AP39" i="1" s="1"/>
  <c r="AW39" i="1"/>
  <c r="T512" i="2" s="1"/>
  <c r="T39" i="1"/>
  <c r="U39" i="1"/>
  <c r="AY40" i="1"/>
  <c r="BC41" i="1" s="1"/>
  <c r="T418" i="2" s="1"/>
  <c r="AT39" i="1"/>
  <c r="T465" i="2" s="1"/>
  <c r="S353" i="2" l="1"/>
  <c r="Q419" i="2"/>
  <c r="Q466" i="2" s="1"/>
  <c r="Q513" i="2" s="1"/>
  <c r="P303" i="2"/>
  <c r="P354" i="2" s="1"/>
  <c r="AM39" i="1"/>
  <c r="S302" i="2" s="1"/>
  <c r="O41" i="1"/>
  <c r="N42" i="1"/>
  <c r="AB41" i="1"/>
  <c r="AX41" i="1" s="1"/>
  <c r="BB41" i="1" s="1"/>
  <c r="P44" i="2"/>
  <c r="P97" i="2" s="1"/>
  <c r="P147" i="2" s="1"/>
  <c r="P202" i="2" s="1"/>
  <c r="P253" i="2" s="1"/>
  <c r="AK38" i="1"/>
  <c r="S250" i="2"/>
  <c r="AC40" i="1"/>
  <c r="AF40" i="1" s="1"/>
  <c r="AA39" i="1"/>
  <c r="S42" i="2" s="1"/>
  <c r="Y39" i="1"/>
  <c r="S39" i="1"/>
  <c r="S95" i="2" s="1"/>
  <c r="AH39" i="1"/>
  <c r="S200" i="2" s="1"/>
  <c r="AJ39" i="1"/>
  <c r="Q40" i="1"/>
  <c r="U40" i="1"/>
  <c r="P40" i="1"/>
  <c r="AP40" i="1" s="1"/>
  <c r="AW40" i="1"/>
  <c r="T513" i="2" s="1"/>
  <c r="T40" i="1"/>
  <c r="AY41" i="1"/>
  <c r="BC42" i="1" s="1"/>
  <c r="T419" i="2" s="1"/>
  <c r="AT40" i="1"/>
  <c r="T466" i="2" s="1"/>
  <c r="W39" i="1"/>
  <c r="S145" i="2" s="1"/>
  <c r="S354" i="2" l="1"/>
  <c r="Q420" i="2"/>
  <c r="Q467" i="2" s="1"/>
  <c r="Q514" i="2" s="1"/>
  <c r="P304" i="2"/>
  <c r="P355" i="2" s="1"/>
  <c r="AM40" i="1"/>
  <c r="S303" i="2" s="1"/>
  <c r="W40" i="1"/>
  <c r="S146" i="2" s="1"/>
  <c r="AK39" i="1"/>
  <c r="S251" i="2"/>
  <c r="AC41" i="1"/>
  <c r="AF41" i="1" s="1"/>
  <c r="AA40" i="1"/>
  <c r="S43" i="2" s="1"/>
  <c r="Y40" i="1"/>
  <c r="AH40" i="1"/>
  <c r="S201" i="2" s="1"/>
  <c r="S40" i="1"/>
  <c r="S96" i="2" s="1"/>
  <c r="AJ40" i="1"/>
  <c r="N43" i="1"/>
  <c r="O42" i="1"/>
  <c r="P45" i="2"/>
  <c r="P98" i="2" s="1"/>
  <c r="P148" i="2" s="1"/>
  <c r="P203" i="2" s="1"/>
  <c r="P254" i="2" s="1"/>
  <c r="AB42" i="1"/>
  <c r="AX42" i="1" s="1"/>
  <c r="BB42" i="1" s="1"/>
  <c r="P41" i="1"/>
  <c r="AP41" i="1" s="1"/>
  <c r="T41" i="1"/>
  <c r="AW41" i="1"/>
  <c r="T514" i="2" s="1"/>
  <c r="Q41" i="1"/>
  <c r="U41" i="1"/>
  <c r="AY42" i="1"/>
  <c r="BC43" i="1" s="1"/>
  <c r="T420" i="2" s="1"/>
  <c r="AT41" i="1"/>
  <c r="T467" i="2" s="1"/>
  <c r="S355" i="2" l="1"/>
  <c r="Q421" i="2"/>
  <c r="Q468" i="2" s="1"/>
  <c r="Q515" i="2" s="1"/>
  <c r="P305" i="2"/>
  <c r="P356" i="2" s="1"/>
  <c r="AM41" i="1"/>
  <c r="S304" i="2" s="1"/>
  <c r="Q42" i="1"/>
  <c r="T42" i="1"/>
  <c r="U42" i="1"/>
  <c r="P42" i="1"/>
  <c r="AP42" i="1" s="1"/>
  <c r="AY43" i="1"/>
  <c r="BC44" i="1" s="1"/>
  <c r="T421" i="2" s="1"/>
  <c r="AW42" i="1"/>
  <c r="T515" i="2" s="1"/>
  <c r="AT42" i="1"/>
  <c r="T468" i="2" s="1"/>
  <c r="O43" i="1"/>
  <c r="N44" i="1"/>
  <c r="P46" i="2"/>
  <c r="P99" i="2" s="1"/>
  <c r="P149" i="2" s="1"/>
  <c r="P204" i="2" s="1"/>
  <c r="P255" i="2" s="1"/>
  <c r="AB43" i="1"/>
  <c r="AX43" i="1" s="1"/>
  <c r="BB43" i="1" s="1"/>
  <c r="W41" i="1"/>
  <c r="S147" i="2" s="1"/>
  <c r="AK40" i="1"/>
  <c r="S252" i="2"/>
  <c r="AC42" i="1"/>
  <c r="AF42" i="1" s="1"/>
  <c r="AA41" i="1"/>
  <c r="S44" i="2" s="1"/>
  <c r="Y41" i="1"/>
  <c r="S41" i="1"/>
  <c r="S97" i="2" s="1"/>
  <c r="AH41" i="1"/>
  <c r="S202" i="2" s="1"/>
  <c r="AJ41" i="1"/>
  <c r="S356" i="2" l="1"/>
  <c r="Q422" i="2"/>
  <c r="Q469" i="2" s="1"/>
  <c r="Q516" i="2" s="1"/>
  <c r="P306" i="2"/>
  <c r="P357" i="2" s="1"/>
  <c r="AM42" i="1"/>
  <c r="S305" i="2" s="1"/>
  <c r="AW43" i="1"/>
  <c r="T516" i="2" s="1"/>
  <c r="P43" i="1"/>
  <c r="AP43" i="1" s="1"/>
  <c r="Q43" i="1"/>
  <c r="U43" i="1"/>
  <c r="T43" i="1"/>
  <c r="AT43" i="1"/>
  <c r="T469" i="2" s="1"/>
  <c r="AY44" i="1"/>
  <c r="BC45" i="1" s="1"/>
  <c r="T422" i="2" s="1"/>
  <c r="AB44" i="1"/>
  <c r="AX44" i="1" s="1"/>
  <c r="BB44" i="1" s="1"/>
  <c r="N45" i="1"/>
  <c r="O44" i="1"/>
  <c r="P47" i="2"/>
  <c r="P100" i="2" s="1"/>
  <c r="P150" i="2" s="1"/>
  <c r="P205" i="2" s="1"/>
  <c r="P256" i="2" s="1"/>
  <c r="AK41" i="1"/>
  <c r="S253" i="2"/>
  <c r="AJ42" i="1"/>
  <c r="AC43" i="1"/>
  <c r="AF43" i="1" s="1"/>
  <c r="AH42" i="1"/>
  <c r="S203" i="2" s="1"/>
  <c r="Y42" i="1"/>
  <c r="AA42" i="1"/>
  <c r="S45" i="2" s="1"/>
  <c r="S42" i="1"/>
  <c r="S98" i="2" s="1"/>
  <c r="W42" i="1"/>
  <c r="S148" i="2" s="1"/>
  <c r="S357" i="2" l="1"/>
  <c r="Q423" i="2"/>
  <c r="Q470" i="2" s="1"/>
  <c r="Q517" i="2" s="1"/>
  <c r="P307" i="2"/>
  <c r="P358" i="2" s="1"/>
  <c r="AM43" i="1"/>
  <c r="S306" i="2" s="1"/>
  <c r="W43" i="1"/>
  <c r="S149" i="2" s="1"/>
  <c r="T44" i="1"/>
  <c r="AW44" i="1"/>
  <c r="T517" i="2" s="1"/>
  <c r="Q44" i="1"/>
  <c r="P44" i="1"/>
  <c r="AP44" i="1" s="1"/>
  <c r="AT44" i="1"/>
  <c r="T470" i="2" s="1"/>
  <c r="U44" i="1"/>
  <c r="AY45" i="1"/>
  <c r="BC46" i="1" s="1"/>
  <c r="T423" i="2" s="1"/>
  <c r="N46" i="1"/>
  <c r="AB45" i="1"/>
  <c r="AX45" i="1" s="1"/>
  <c r="BB45" i="1" s="1"/>
  <c r="O45" i="1"/>
  <c r="P48" i="2"/>
  <c r="P101" i="2" s="1"/>
  <c r="P151" i="2" s="1"/>
  <c r="P206" i="2" s="1"/>
  <c r="P257" i="2" s="1"/>
  <c r="AK42" i="1"/>
  <c r="S254" i="2"/>
  <c r="AC44" i="1"/>
  <c r="AF44" i="1" s="1"/>
  <c r="Y43" i="1"/>
  <c r="AA43" i="1"/>
  <c r="S46" i="2" s="1"/>
  <c r="S43" i="1"/>
  <c r="S99" i="2" s="1"/>
  <c r="AH43" i="1"/>
  <c r="S204" i="2" s="1"/>
  <c r="AJ43" i="1"/>
  <c r="S358" i="2" l="1"/>
  <c r="Q424" i="2"/>
  <c r="Q471" i="2" s="1"/>
  <c r="Q518" i="2" s="1"/>
  <c r="P308" i="2"/>
  <c r="P359" i="2" s="1"/>
  <c r="AM44" i="1"/>
  <c r="S307" i="2" s="1"/>
  <c r="O46" i="1"/>
  <c r="N47" i="1"/>
  <c r="AB46" i="1"/>
  <c r="AX46" i="1" s="1"/>
  <c r="BB46" i="1" s="1"/>
  <c r="P49" i="2"/>
  <c r="P102" i="2" s="1"/>
  <c r="P152" i="2" s="1"/>
  <c r="P207" i="2" s="1"/>
  <c r="P258" i="2" s="1"/>
  <c r="Z29" i="2"/>
  <c r="Z82" i="2" s="1"/>
  <c r="Z132" i="2" s="1"/>
  <c r="Z187" i="2" s="1"/>
  <c r="Z238" i="2" s="1"/>
  <c r="P45" i="1"/>
  <c r="AP45" i="1" s="1"/>
  <c r="AW45" i="1"/>
  <c r="T518" i="2" s="1"/>
  <c r="Q45" i="1"/>
  <c r="U45" i="1"/>
  <c r="T45" i="1"/>
  <c r="S359" i="2" s="1"/>
  <c r="AT45" i="1"/>
  <c r="T471" i="2" s="1"/>
  <c r="AY46" i="1"/>
  <c r="BC47" i="1" s="1"/>
  <c r="T424" i="2" s="1"/>
  <c r="AC45" i="1"/>
  <c r="AF45" i="1" s="1"/>
  <c r="AH44" i="1"/>
  <c r="S205" i="2" s="1"/>
  <c r="Y44" i="1"/>
  <c r="AA44" i="1"/>
  <c r="S47" i="2" s="1"/>
  <c r="S44" i="1"/>
  <c r="S100" i="2" s="1"/>
  <c r="AJ44" i="1"/>
  <c r="AK43" i="1"/>
  <c r="S255" i="2"/>
  <c r="W44" i="1"/>
  <c r="S150" i="2" s="1"/>
  <c r="Q425" i="2" l="1"/>
  <c r="Q472" i="2" s="1"/>
  <c r="Q519" i="2" s="1"/>
  <c r="P309" i="2"/>
  <c r="P360" i="2" s="1"/>
  <c r="AA405" i="2"/>
  <c r="AA452" i="2" s="1"/>
  <c r="AA498" i="2" s="1"/>
  <c r="Z289" i="2"/>
  <c r="Z340" i="2" s="1"/>
  <c r="AM45" i="1"/>
  <c r="S308" i="2" s="1"/>
  <c r="W45" i="1"/>
  <c r="S151" i="2" s="1"/>
  <c r="AC46" i="1"/>
  <c r="AF46" i="1" s="1"/>
  <c r="Y45" i="1"/>
  <c r="AA45" i="1"/>
  <c r="S48" i="2" s="1"/>
  <c r="AH45" i="1"/>
  <c r="S206" i="2" s="1"/>
  <c r="S208" i="2" s="1"/>
  <c r="AJ45" i="1"/>
  <c r="S45" i="1"/>
  <c r="S101" i="2" s="1"/>
  <c r="AK44" i="1"/>
  <c r="S256" i="2"/>
  <c r="O47" i="1"/>
  <c r="N48" i="1"/>
  <c r="Z30" i="2"/>
  <c r="Z83" i="2" s="1"/>
  <c r="Z133" i="2" s="1"/>
  <c r="Z188" i="2" s="1"/>
  <c r="Z239" i="2" s="1"/>
  <c r="AB47" i="1"/>
  <c r="AX47" i="1" s="1"/>
  <c r="BB47" i="1" s="1"/>
  <c r="Q46" i="1"/>
  <c r="AY47" i="1"/>
  <c r="BC48" i="1" s="1"/>
  <c r="AW46" i="1"/>
  <c r="P46" i="1"/>
  <c r="AT46" i="1"/>
  <c r="AC340" i="2" l="1"/>
  <c r="S360" i="2"/>
  <c r="S361" i="2" s="1"/>
  <c r="AA406" i="2"/>
  <c r="AA453" i="2" s="1"/>
  <c r="AA499" i="2" s="1"/>
  <c r="Z290" i="2"/>
  <c r="Z341" i="2" s="1"/>
  <c r="AM46" i="1"/>
  <c r="AP46" i="1"/>
  <c r="N49" i="1"/>
  <c r="AB48" i="1"/>
  <c r="AX48" i="1" s="1"/>
  <c r="BB48" i="1" s="1"/>
  <c r="O48" i="1"/>
  <c r="Z31" i="2"/>
  <c r="Z84" i="2" s="1"/>
  <c r="Z134" i="2" s="1"/>
  <c r="Z189" i="2" s="1"/>
  <c r="Z240" i="2" s="1"/>
  <c r="AK45" i="1"/>
  <c r="S257" i="2"/>
  <c r="T519" i="2"/>
  <c r="AD498" i="2"/>
  <c r="Q47" i="1"/>
  <c r="P47" i="1"/>
  <c r="AC341" i="2" s="1"/>
  <c r="AW47" i="1"/>
  <c r="AD499" i="2" s="1"/>
  <c r="AT47" i="1"/>
  <c r="AD453" i="2" s="1"/>
  <c r="AY48" i="1"/>
  <c r="BC49" i="1" s="1"/>
  <c r="AD406" i="2" s="1"/>
  <c r="AC47" i="1"/>
  <c r="AF47" i="1" s="1"/>
  <c r="W46" i="1"/>
  <c r="AA46" i="1"/>
  <c r="Y46" i="1"/>
  <c r="S46" i="1"/>
  <c r="AJ46" i="1"/>
  <c r="T425" i="2"/>
  <c r="AD405" i="2"/>
  <c r="AD452" i="2"/>
  <c r="T472" i="2"/>
  <c r="S309" i="2" l="1"/>
  <c r="S310" i="2" s="1"/>
  <c r="AC289" i="2"/>
  <c r="AA407" i="2"/>
  <c r="AA454" i="2" s="1"/>
  <c r="AA500" i="2" s="1"/>
  <c r="Z291" i="2"/>
  <c r="Z342" i="2" s="1"/>
  <c r="AM47" i="1"/>
  <c r="AC290" i="2" s="1"/>
  <c r="AP47" i="1"/>
  <c r="W47" i="1"/>
  <c r="AC133" i="2" s="1"/>
  <c r="AC48" i="1"/>
  <c r="AF48" i="1" s="1"/>
  <c r="S47" i="1"/>
  <c r="AC83" i="2" s="1"/>
  <c r="AA47" i="1"/>
  <c r="AC30" i="2" s="1"/>
  <c r="Y47" i="1"/>
  <c r="AH47" i="1"/>
  <c r="AC188" i="2" s="1"/>
  <c r="AJ47" i="1"/>
  <c r="S102" i="2"/>
  <c r="S103" i="2" s="1"/>
  <c r="AC82" i="2"/>
  <c r="S152" i="2"/>
  <c r="S153" i="2" s="1"/>
  <c r="AC132" i="2"/>
  <c r="Q48" i="1"/>
  <c r="P48" i="1"/>
  <c r="AW48" i="1"/>
  <c r="AD500" i="2" s="1"/>
  <c r="AY49" i="1"/>
  <c r="BC50" i="1" s="1"/>
  <c r="AD407" i="2" s="1"/>
  <c r="AT48" i="1"/>
  <c r="AD454" i="2" s="1"/>
  <c r="AK46" i="1"/>
  <c r="AC238" i="2"/>
  <c r="S258" i="2"/>
  <c r="S259" i="2" s="1"/>
  <c r="S49" i="2"/>
  <c r="S50" i="2" s="1"/>
  <c r="AC29" i="2"/>
  <c r="O49" i="1"/>
  <c r="AB49" i="1"/>
  <c r="AX49" i="1" s="1"/>
  <c r="BB49" i="1" s="1"/>
  <c r="N50" i="1"/>
  <c r="Z32" i="2"/>
  <c r="Z85" i="2" s="1"/>
  <c r="Z135" i="2" s="1"/>
  <c r="Z190" i="2" s="1"/>
  <c r="Z241" i="2" s="1"/>
  <c r="AC342" i="2" l="1"/>
  <c r="AA408" i="2"/>
  <c r="AA455" i="2" s="1"/>
  <c r="AA501" i="2" s="1"/>
  <c r="Z292" i="2"/>
  <c r="Z343" i="2" s="1"/>
  <c r="AM48" i="1"/>
  <c r="AC291" i="2" s="1"/>
  <c r="AP48" i="1"/>
  <c r="AK47" i="1"/>
  <c r="AC239" i="2"/>
  <c r="N51" i="1"/>
  <c r="Z33" i="2"/>
  <c r="Z86" i="2" s="1"/>
  <c r="Z136" i="2" s="1"/>
  <c r="Z191" i="2" s="1"/>
  <c r="Z242" i="2" s="1"/>
  <c r="O50" i="1"/>
  <c r="AB50" i="1"/>
  <c r="AX50" i="1" s="1"/>
  <c r="BB50" i="1" s="1"/>
  <c r="P49" i="1"/>
  <c r="AW49" i="1"/>
  <c r="AD501" i="2" s="1"/>
  <c r="Q49" i="1"/>
  <c r="AY50" i="1"/>
  <c r="BC51" i="1" s="1"/>
  <c r="AD408" i="2" s="1"/>
  <c r="AT49" i="1"/>
  <c r="AD455" i="2" s="1"/>
  <c r="W48" i="1"/>
  <c r="AC134" i="2" s="1"/>
  <c r="AC49" i="1"/>
  <c r="AF49" i="1" s="1"/>
  <c r="AA48" i="1"/>
  <c r="AC31" i="2" s="1"/>
  <c r="Y48" i="1"/>
  <c r="AJ48" i="1"/>
  <c r="S48" i="1"/>
  <c r="AC84" i="2" s="1"/>
  <c r="AH48" i="1"/>
  <c r="AC189" i="2" s="1"/>
  <c r="AC343" i="2" l="1"/>
  <c r="AA409" i="2"/>
  <c r="AA456" i="2" s="1"/>
  <c r="AA502" i="2" s="1"/>
  <c r="Z293" i="2"/>
  <c r="Z344" i="2" s="1"/>
  <c r="AM49" i="1"/>
  <c r="AC292" i="2" s="1"/>
  <c r="AP49" i="1"/>
  <c r="AK48" i="1"/>
  <c r="AC240" i="2"/>
  <c r="N52" i="1"/>
  <c r="O51" i="1"/>
  <c r="AB51" i="1"/>
  <c r="AX51" i="1" s="1"/>
  <c r="BB51" i="1" s="1"/>
  <c r="Z34" i="2"/>
  <c r="Z87" i="2" s="1"/>
  <c r="Z137" i="2" s="1"/>
  <c r="Z192" i="2" s="1"/>
  <c r="Z243" i="2" s="1"/>
  <c r="Q50" i="1"/>
  <c r="P50" i="1"/>
  <c r="AT50" i="1"/>
  <c r="AD456" i="2" s="1"/>
  <c r="AY51" i="1"/>
  <c r="BC52" i="1" s="1"/>
  <c r="AD409" i="2" s="1"/>
  <c r="AW50" i="1"/>
  <c r="AD502" i="2" s="1"/>
  <c r="W49" i="1"/>
  <c r="AC135" i="2" s="1"/>
  <c r="S49" i="1"/>
  <c r="AC85" i="2" s="1"/>
  <c r="AC50" i="1"/>
  <c r="AF50" i="1" s="1"/>
  <c r="AA49" i="1"/>
  <c r="AC32" i="2" s="1"/>
  <c r="Y49" i="1"/>
  <c r="AJ49" i="1"/>
  <c r="AH49" i="1"/>
  <c r="AC190" i="2" s="1"/>
  <c r="AC344" i="2" l="1"/>
  <c r="AA410" i="2"/>
  <c r="AA457" i="2" s="1"/>
  <c r="AA503" i="2" s="1"/>
  <c r="Z294" i="2"/>
  <c r="Z345" i="2" s="1"/>
  <c r="AM50" i="1"/>
  <c r="AC293" i="2" s="1"/>
  <c r="AP50" i="1"/>
  <c r="AK49" i="1"/>
  <c r="AC241" i="2"/>
  <c r="P51" i="1"/>
  <c r="Q51" i="1"/>
  <c r="AW51" i="1"/>
  <c r="AD503" i="2" s="1"/>
  <c r="AY52" i="1"/>
  <c r="BC53" i="1" s="1"/>
  <c r="AD410" i="2" s="1"/>
  <c r="AT51" i="1"/>
  <c r="AD457" i="2" s="1"/>
  <c r="AC51" i="1"/>
  <c r="AF51" i="1" s="1"/>
  <c r="W50" i="1"/>
  <c r="AC136" i="2" s="1"/>
  <c r="AJ50" i="1"/>
  <c r="S50" i="1"/>
  <c r="AC86" i="2" s="1"/>
  <c r="Y50" i="1"/>
  <c r="AH50" i="1"/>
  <c r="AC191" i="2" s="1"/>
  <c r="AA50" i="1"/>
  <c r="AC33" i="2" s="1"/>
  <c r="O52" i="1"/>
  <c r="AB52" i="1"/>
  <c r="AX52" i="1" s="1"/>
  <c r="BB52" i="1" s="1"/>
  <c r="N53" i="1"/>
  <c r="Z35" i="2"/>
  <c r="Z88" i="2" s="1"/>
  <c r="Z138" i="2" s="1"/>
  <c r="Z193" i="2" s="1"/>
  <c r="Z244" i="2" s="1"/>
  <c r="AC345" i="2" l="1"/>
  <c r="AA411" i="2"/>
  <c r="AA458" i="2" s="1"/>
  <c r="AA504" i="2" s="1"/>
  <c r="Z295" i="2"/>
  <c r="Z346" i="2" s="1"/>
  <c r="AM51" i="1"/>
  <c r="AC294" i="2" s="1"/>
  <c r="AP51" i="1"/>
  <c r="O53" i="1"/>
  <c r="N54" i="1"/>
  <c r="AB53" i="1"/>
  <c r="AX53" i="1" s="1"/>
  <c r="BB53" i="1" s="1"/>
  <c r="Z36" i="2"/>
  <c r="Z89" i="2" s="1"/>
  <c r="Z139" i="2" s="1"/>
  <c r="Z194" i="2" s="1"/>
  <c r="Z245" i="2" s="1"/>
  <c r="AC52" i="1"/>
  <c r="AF52" i="1" s="1"/>
  <c r="W51" i="1"/>
  <c r="AC137" i="2" s="1"/>
  <c r="AH51" i="1"/>
  <c r="AC192" i="2" s="1"/>
  <c r="AA51" i="1"/>
  <c r="AC34" i="2" s="1"/>
  <c r="Y51" i="1"/>
  <c r="S51" i="1"/>
  <c r="AC87" i="2" s="1"/>
  <c r="AJ51" i="1"/>
  <c r="AW52" i="1"/>
  <c r="AD504" i="2" s="1"/>
  <c r="Q52" i="1"/>
  <c r="P52" i="1"/>
  <c r="AY53" i="1"/>
  <c r="BC54" i="1" s="1"/>
  <c r="AD411" i="2" s="1"/>
  <c r="AT52" i="1"/>
  <c r="AD458" i="2" s="1"/>
  <c r="AK50" i="1"/>
  <c r="AC242" i="2"/>
  <c r="AC346" i="2" l="1"/>
  <c r="AA412" i="2"/>
  <c r="AA459" i="2" s="1"/>
  <c r="AA505" i="2" s="1"/>
  <c r="Z296" i="2"/>
  <c r="Z347" i="2" s="1"/>
  <c r="AM52" i="1"/>
  <c r="AC295" i="2" s="1"/>
  <c r="AP52" i="1"/>
  <c r="AK51" i="1"/>
  <c r="AC243" i="2"/>
  <c r="AC53" i="1"/>
  <c r="AF53" i="1" s="1"/>
  <c r="W52" i="1"/>
  <c r="AC138" i="2" s="1"/>
  <c r="AA52" i="1"/>
  <c r="AC35" i="2" s="1"/>
  <c r="Y52" i="1"/>
  <c r="AJ52" i="1"/>
  <c r="S52" i="1"/>
  <c r="AC88" i="2" s="1"/>
  <c r="AH52" i="1"/>
  <c r="AC193" i="2" s="1"/>
  <c r="N55" i="1"/>
  <c r="O54" i="1"/>
  <c r="AB54" i="1"/>
  <c r="AX54" i="1" s="1"/>
  <c r="BB54" i="1" s="1"/>
  <c r="Z37" i="2"/>
  <c r="Z90" i="2" s="1"/>
  <c r="Z140" i="2" s="1"/>
  <c r="Z195" i="2" s="1"/>
  <c r="Z246" i="2" s="1"/>
  <c r="Q53" i="1"/>
  <c r="P53" i="1"/>
  <c r="AC347" i="2" s="1"/>
  <c r="AW53" i="1"/>
  <c r="AD505" i="2" s="1"/>
  <c r="AY54" i="1"/>
  <c r="BC55" i="1" s="1"/>
  <c r="AD412" i="2" s="1"/>
  <c r="AT53" i="1"/>
  <c r="AD459" i="2" s="1"/>
  <c r="AA413" i="2" l="1"/>
  <c r="AA460" i="2" s="1"/>
  <c r="AA506" i="2" s="1"/>
  <c r="Z297" i="2"/>
  <c r="Z348" i="2" s="1"/>
  <c r="AM53" i="1"/>
  <c r="AC296" i="2" s="1"/>
  <c r="AP53" i="1"/>
  <c r="Q54" i="1"/>
  <c r="P54" i="1"/>
  <c r="AW54" i="1"/>
  <c r="AD506" i="2" s="1"/>
  <c r="AY55" i="1"/>
  <c r="BC56" i="1" s="1"/>
  <c r="AD413" i="2" s="1"/>
  <c r="AT54" i="1"/>
  <c r="AD460" i="2" s="1"/>
  <c r="AK52" i="1"/>
  <c r="AC244" i="2"/>
  <c r="AC54" i="1"/>
  <c r="AF54" i="1" s="1"/>
  <c r="W53" i="1"/>
  <c r="AC139" i="2" s="1"/>
  <c r="AA53" i="1"/>
  <c r="AC36" i="2" s="1"/>
  <c r="Y53" i="1"/>
  <c r="S53" i="1"/>
  <c r="AC89" i="2" s="1"/>
  <c r="AJ53" i="1"/>
  <c r="AH53" i="1"/>
  <c r="AC194" i="2" s="1"/>
  <c r="O55" i="1"/>
  <c r="N56" i="1"/>
  <c r="Z38" i="2"/>
  <c r="Z91" i="2" s="1"/>
  <c r="Z141" i="2" s="1"/>
  <c r="Z196" i="2" s="1"/>
  <c r="Z247" i="2" s="1"/>
  <c r="AB55" i="1"/>
  <c r="AX55" i="1" s="1"/>
  <c r="BB55" i="1" s="1"/>
  <c r="AC348" i="2" l="1"/>
  <c r="AA414" i="2"/>
  <c r="AA461" i="2" s="1"/>
  <c r="AA507" i="2" s="1"/>
  <c r="Z298" i="2"/>
  <c r="Z349" i="2" s="1"/>
  <c r="AM54" i="1"/>
  <c r="AC297" i="2" s="1"/>
  <c r="AP54" i="1"/>
  <c r="AW55" i="1"/>
  <c r="AD507" i="2" s="1"/>
  <c r="P55" i="1"/>
  <c r="Q55" i="1"/>
  <c r="AT55" i="1"/>
  <c r="AD461" i="2" s="1"/>
  <c r="AY56" i="1"/>
  <c r="BC57" i="1" s="1"/>
  <c r="AD414" i="2" s="1"/>
  <c r="W54" i="1"/>
  <c r="AC140" i="2" s="1"/>
  <c r="AC55" i="1"/>
  <c r="AF55" i="1" s="1"/>
  <c r="Y54" i="1"/>
  <c r="AA54" i="1"/>
  <c r="AC37" i="2" s="1"/>
  <c r="AH54" i="1"/>
  <c r="AC195" i="2" s="1"/>
  <c r="S54" i="1"/>
  <c r="AC90" i="2" s="1"/>
  <c r="AJ54" i="1"/>
  <c r="AB56" i="1"/>
  <c r="AX56" i="1" s="1"/>
  <c r="BB56" i="1" s="1"/>
  <c r="N57" i="1"/>
  <c r="O56" i="1"/>
  <c r="Z39" i="2"/>
  <c r="Z92" i="2" s="1"/>
  <c r="Z142" i="2" s="1"/>
  <c r="Z197" i="2" s="1"/>
  <c r="Z248" i="2" s="1"/>
  <c r="AK53" i="1"/>
  <c r="AC245" i="2"/>
  <c r="AC349" i="2" l="1"/>
  <c r="AA415" i="2"/>
  <c r="AA462" i="2" s="1"/>
  <c r="AA508" i="2" s="1"/>
  <c r="Z299" i="2"/>
  <c r="Z350" i="2" s="1"/>
  <c r="AM55" i="1"/>
  <c r="AC298" i="2" s="1"/>
  <c r="AP55" i="1"/>
  <c r="AK54" i="1"/>
  <c r="AC246" i="2"/>
  <c r="AW56" i="1"/>
  <c r="AD508" i="2" s="1"/>
  <c r="P56" i="1"/>
  <c r="Q56" i="1"/>
  <c r="AY57" i="1"/>
  <c r="BC58" i="1" s="1"/>
  <c r="AD415" i="2" s="1"/>
  <c r="AT56" i="1"/>
  <c r="AD462" i="2" s="1"/>
  <c r="N58" i="1"/>
  <c r="AB57" i="1"/>
  <c r="AX57" i="1" s="1"/>
  <c r="BB57" i="1" s="1"/>
  <c r="O57" i="1"/>
  <c r="Z40" i="2"/>
  <c r="Z93" i="2" s="1"/>
  <c r="Z143" i="2" s="1"/>
  <c r="Z198" i="2" s="1"/>
  <c r="Z249" i="2" s="1"/>
  <c r="W55" i="1"/>
  <c r="AC141" i="2" s="1"/>
  <c r="AC56" i="1"/>
  <c r="AF56" i="1" s="1"/>
  <c r="Y55" i="1"/>
  <c r="AA55" i="1"/>
  <c r="AC38" i="2" s="1"/>
  <c r="S55" i="1"/>
  <c r="AC91" i="2" s="1"/>
  <c r="AH55" i="1"/>
  <c r="AC196" i="2" s="1"/>
  <c r="AJ55" i="1"/>
  <c r="AC350" i="2" l="1"/>
  <c r="AA416" i="2"/>
  <c r="AA463" i="2" s="1"/>
  <c r="AA510" i="2" s="1"/>
  <c r="Z300" i="2"/>
  <c r="Z351" i="2" s="1"/>
  <c r="AM56" i="1"/>
  <c r="AC299" i="2" s="1"/>
  <c r="AP56" i="1"/>
  <c r="AK55" i="1"/>
  <c r="AC247" i="2"/>
  <c r="P57" i="1"/>
  <c r="AW57" i="1"/>
  <c r="AD510" i="2" s="1"/>
  <c r="Q57" i="1"/>
  <c r="AT57" i="1"/>
  <c r="AD463" i="2" s="1"/>
  <c r="AY58" i="1"/>
  <c r="BC59" i="1" s="1"/>
  <c r="AD416" i="2" s="1"/>
  <c r="O58" i="1"/>
  <c r="N59" i="1"/>
  <c r="AB58" i="1"/>
  <c r="AX58" i="1" s="1"/>
  <c r="BB58" i="1" s="1"/>
  <c r="Z41" i="2"/>
  <c r="Z94" i="2" s="1"/>
  <c r="Z144" i="2" s="1"/>
  <c r="Z199" i="2" s="1"/>
  <c r="Z250" i="2" s="1"/>
  <c r="W56" i="1"/>
  <c r="AC142" i="2" s="1"/>
  <c r="AC57" i="1"/>
  <c r="AF57" i="1" s="1"/>
  <c r="S56" i="1"/>
  <c r="AC92" i="2" s="1"/>
  <c r="Y56" i="1"/>
  <c r="AA56" i="1"/>
  <c r="AC39" i="2" s="1"/>
  <c r="AJ56" i="1"/>
  <c r="AH56" i="1"/>
  <c r="AC197" i="2" s="1"/>
  <c r="AC351" i="2" l="1"/>
  <c r="AA417" i="2"/>
  <c r="AA464" i="2" s="1"/>
  <c r="AA511" i="2" s="1"/>
  <c r="Z301" i="2"/>
  <c r="Z352" i="2" s="1"/>
  <c r="AM57" i="1"/>
  <c r="AC300" i="2" s="1"/>
  <c r="AP57" i="1"/>
  <c r="AW58" i="1"/>
  <c r="AD511" i="2" s="1"/>
  <c r="AY59" i="1"/>
  <c r="BC60" i="1" s="1"/>
  <c r="AD417" i="2" s="1"/>
  <c r="AT58" i="1"/>
  <c r="AD464" i="2" s="1"/>
  <c r="P58" i="1"/>
  <c r="Q58" i="1"/>
  <c r="AC58" i="1"/>
  <c r="AF58" i="1" s="1"/>
  <c r="S57" i="1"/>
  <c r="AC93" i="2" s="1"/>
  <c r="Y57" i="1"/>
  <c r="W57" i="1"/>
  <c r="AC143" i="2" s="1"/>
  <c r="AA57" i="1"/>
  <c r="AC40" i="2" s="1"/>
  <c r="AJ57" i="1"/>
  <c r="AH57" i="1"/>
  <c r="AC198" i="2" s="1"/>
  <c r="AK56" i="1"/>
  <c r="AC248" i="2"/>
  <c r="O59" i="1"/>
  <c r="N60" i="1"/>
  <c r="Z42" i="2"/>
  <c r="Z95" i="2" s="1"/>
  <c r="Z145" i="2" s="1"/>
  <c r="Z200" i="2" s="1"/>
  <c r="Z251" i="2" s="1"/>
  <c r="AB59" i="1"/>
  <c r="AX59" i="1" s="1"/>
  <c r="BB59" i="1" s="1"/>
  <c r="AC352" i="2" l="1"/>
  <c r="AA418" i="2"/>
  <c r="AA465" i="2" s="1"/>
  <c r="AA512" i="2" s="1"/>
  <c r="Z302" i="2"/>
  <c r="Z353" i="2" s="1"/>
  <c r="AM58" i="1"/>
  <c r="AC301" i="2" s="1"/>
  <c r="AP58" i="1"/>
  <c r="AK57" i="1"/>
  <c r="AC249" i="2"/>
  <c r="AC59" i="1"/>
  <c r="AF59" i="1" s="1"/>
  <c r="AA58" i="1"/>
  <c r="AC41" i="2" s="1"/>
  <c r="Y58" i="1"/>
  <c r="AJ58" i="1"/>
  <c r="W58" i="1"/>
  <c r="AC144" i="2" s="1"/>
  <c r="AH58" i="1"/>
  <c r="AC199" i="2" s="1"/>
  <c r="S58" i="1"/>
  <c r="AC94" i="2" s="1"/>
  <c r="Q59" i="1"/>
  <c r="P59" i="1"/>
  <c r="AC353" i="2" s="1"/>
  <c r="AW59" i="1"/>
  <c r="AD512" i="2" s="1"/>
  <c r="AT59" i="1"/>
  <c r="AD465" i="2" s="1"/>
  <c r="AY60" i="1"/>
  <c r="BC61" i="1" s="1"/>
  <c r="AD418" i="2" s="1"/>
  <c r="N61" i="1"/>
  <c r="AB60" i="1"/>
  <c r="AX60" i="1" s="1"/>
  <c r="BB60" i="1" s="1"/>
  <c r="O60" i="1"/>
  <c r="Z43" i="2"/>
  <c r="Z96" i="2" s="1"/>
  <c r="Z146" i="2" s="1"/>
  <c r="Z201" i="2" s="1"/>
  <c r="Z252" i="2" s="1"/>
  <c r="AA419" i="2" l="1"/>
  <c r="AA466" i="2" s="1"/>
  <c r="AA513" i="2" s="1"/>
  <c r="Z303" i="2"/>
  <c r="Z354" i="2" s="1"/>
  <c r="AM59" i="1"/>
  <c r="AC302" i="2" s="1"/>
  <c r="AP59" i="1"/>
  <c r="AK58" i="1"/>
  <c r="AC250" i="2"/>
  <c r="AC60" i="1"/>
  <c r="AF60" i="1" s="1"/>
  <c r="W59" i="1"/>
  <c r="AC145" i="2" s="1"/>
  <c r="AH59" i="1"/>
  <c r="AC200" i="2" s="1"/>
  <c r="AA59" i="1"/>
  <c r="AC42" i="2" s="1"/>
  <c r="Y59" i="1"/>
  <c r="AJ59" i="1"/>
  <c r="S59" i="1"/>
  <c r="AC95" i="2" s="1"/>
  <c r="P60" i="1"/>
  <c r="AC354" i="2" s="1"/>
  <c r="Q60" i="1"/>
  <c r="AW60" i="1"/>
  <c r="AD513" i="2" s="1"/>
  <c r="AT60" i="1"/>
  <c r="AD466" i="2" s="1"/>
  <c r="AY61" i="1"/>
  <c r="BC62" i="1" s="1"/>
  <c r="AD419" i="2" s="1"/>
  <c r="O61" i="1"/>
  <c r="AB61" i="1"/>
  <c r="AX61" i="1" s="1"/>
  <c r="BB61" i="1" s="1"/>
  <c r="N62" i="1"/>
  <c r="Z44" i="2"/>
  <c r="Z97" i="2" s="1"/>
  <c r="Z147" i="2" s="1"/>
  <c r="Z202" i="2" s="1"/>
  <c r="Z253" i="2" s="1"/>
  <c r="AA420" i="2" l="1"/>
  <c r="AA467" i="2" s="1"/>
  <c r="AA514" i="2" s="1"/>
  <c r="Z304" i="2"/>
  <c r="Z355" i="2" s="1"/>
  <c r="AM60" i="1"/>
  <c r="AC303" i="2" s="1"/>
  <c r="AP60" i="1"/>
  <c r="AH60" i="1"/>
  <c r="AC201" i="2" s="1"/>
  <c r="W60" i="1"/>
  <c r="AC146" i="2" s="1"/>
  <c r="AA60" i="1"/>
  <c r="AC43" i="2" s="1"/>
  <c r="Y60" i="1"/>
  <c r="AC61" i="1"/>
  <c r="AF61" i="1" s="1"/>
  <c r="AJ60" i="1"/>
  <c r="S60" i="1"/>
  <c r="AC96" i="2" s="1"/>
  <c r="N63" i="1"/>
  <c r="AB62" i="1"/>
  <c r="AX62" i="1" s="1"/>
  <c r="BB62" i="1" s="1"/>
  <c r="Z45" i="2"/>
  <c r="Z98" i="2" s="1"/>
  <c r="Z148" i="2" s="1"/>
  <c r="Z203" i="2" s="1"/>
  <c r="Z254" i="2" s="1"/>
  <c r="O62" i="1"/>
  <c r="AK59" i="1"/>
  <c r="AC251" i="2"/>
  <c r="P61" i="1"/>
  <c r="Q61" i="1"/>
  <c r="AW61" i="1"/>
  <c r="AD514" i="2" s="1"/>
  <c r="AT61" i="1"/>
  <c r="AD467" i="2" s="1"/>
  <c r="AY62" i="1"/>
  <c r="BC63" i="1" s="1"/>
  <c r="AD420" i="2" s="1"/>
  <c r="AC355" i="2" l="1"/>
  <c r="AA421" i="2"/>
  <c r="AA468" i="2" s="1"/>
  <c r="AA515" i="2" s="1"/>
  <c r="Z305" i="2"/>
  <c r="Z356" i="2" s="1"/>
  <c r="AM61" i="1"/>
  <c r="AC304" i="2" s="1"/>
  <c r="AP61" i="1"/>
  <c r="Q62" i="1"/>
  <c r="P62" i="1"/>
  <c r="AY63" i="1"/>
  <c r="BC64" i="1" s="1"/>
  <c r="AD421" i="2" s="1"/>
  <c r="AW62" i="1"/>
  <c r="AD515" i="2" s="1"/>
  <c r="AT62" i="1"/>
  <c r="AD468" i="2" s="1"/>
  <c r="AK60" i="1"/>
  <c r="AC252" i="2"/>
  <c r="N64" i="1"/>
  <c r="O63" i="1"/>
  <c r="AB63" i="1"/>
  <c r="AX63" i="1" s="1"/>
  <c r="BB63" i="1" s="1"/>
  <c r="Z46" i="2"/>
  <c r="Z99" i="2" s="1"/>
  <c r="Z149" i="2" s="1"/>
  <c r="Z204" i="2" s="1"/>
  <c r="Z255" i="2" s="1"/>
  <c r="W61" i="1"/>
  <c r="AC147" i="2" s="1"/>
  <c r="AC62" i="1"/>
  <c r="AF62" i="1" s="1"/>
  <c r="AA61" i="1"/>
  <c r="AC44" i="2" s="1"/>
  <c r="Y61" i="1"/>
  <c r="AH61" i="1"/>
  <c r="AC202" i="2" s="1"/>
  <c r="AJ61" i="1"/>
  <c r="S61" i="1"/>
  <c r="AC97" i="2" s="1"/>
  <c r="AC356" i="2" l="1"/>
  <c r="AA422" i="2"/>
  <c r="AA469" i="2" s="1"/>
  <c r="AA516" i="2" s="1"/>
  <c r="Z306" i="2"/>
  <c r="Z357" i="2" s="1"/>
  <c r="AM62" i="1"/>
  <c r="AC305" i="2" s="1"/>
  <c r="AP62" i="1"/>
  <c r="AK61" i="1"/>
  <c r="AC253" i="2"/>
  <c r="O64" i="1"/>
  <c r="AB64" i="1"/>
  <c r="AX64" i="1" s="1"/>
  <c r="BB64" i="1" s="1"/>
  <c r="N65" i="1"/>
  <c r="Z47" i="2"/>
  <c r="Z100" i="2" s="1"/>
  <c r="Z150" i="2" s="1"/>
  <c r="Z205" i="2" s="1"/>
  <c r="Z256" i="2" s="1"/>
  <c r="P63" i="1"/>
  <c r="Q63" i="1"/>
  <c r="AW63" i="1"/>
  <c r="AD516" i="2" s="1"/>
  <c r="AT63" i="1"/>
  <c r="AD469" i="2" s="1"/>
  <c r="AY64" i="1"/>
  <c r="BC65" i="1" s="1"/>
  <c r="AD422" i="2" s="1"/>
  <c r="W62" i="1"/>
  <c r="AC148" i="2" s="1"/>
  <c r="AC63" i="1"/>
  <c r="AF63" i="1" s="1"/>
  <c r="AH62" i="1"/>
  <c r="AC203" i="2" s="1"/>
  <c r="Y62" i="1"/>
  <c r="AA62" i="1"/>
  <c r="AC45" i="2" s="1"/>
  <c r="AJ62" i="1"/>
  <c r="S62" i="1"/>
  <c r="AC98" i="2" s="1"/>
  <c r="AC357" i="2" l="1"/>
  <c r="AA423" i="2"/>
  <c r="AA470" i="2" s="1"/>
  <c r="AA517" i="2" s="1"/>
  <c r="Z307" i="2"/>
  <c r="Z358" i="2" s="1"/>
  <c r="AM63" i="1"/>
  <c r="AC306" i="2" s="1"/>
  <c r="AP63" i="1"/>
  <c r="AK62" i="1"/>
  <c r="AC254" i="2"/>
  <c r="P64" i="1"/>
  <c r="Q64" i="1"/>
  <c r="AW64" i="1"/>
  <c r="AD517" i="2" s="1"/>
  <c r="AY65" i="1"/>
  <c r="BC66" i="1" s="1"/>
  <c r="AD423" i="2" s="1"/>
  <c r="AT64" i="1"/>
  <c r="AD470" i="2" s="1"/>
  <c r="O65" i="1"/>
  <c r="N66" i="1"/>
  <c r="AB65" i="1"/>
  <c r="AX65" i="1" s="1"/>
  <c r="BB65" i="1" s="1"/>
  <c r="Z48" i="2"/>
  <c r="Z101" i="2" s="1"/>
  <c r="Z151" i="2" s="1"/>
  <c r="Z206" i="2" s="1"/>
  <c r="Z257" i="2" s="1"/>
  <c r="W63" i="1"/>
  <c r="AC149" i="2" s="1"/>
  <c r="AC64" i="1"/>
  <c r="AF64" i="1" s="1"/>
  <c r="AA63" i="1"/>
  <c r="AC46" i="2" s="1"/>
  <c r="Y63" i="1"/>
  <c r="AJ63" i="1"/>
  <c r="S63" i="1"/>
  <c r="AC99" i="2" s="1"/>
  <c r="AH63" i="1"/>
  <c r="AC204" i="2" s="1"/>
  <c r="AC358" i="2" l="1"/>
  <c r="AA424" i="2"/>
  <c r="AA471" i="2" s="1"/>
  <c r="AA518" i="2" s="1"/>
  <c r="Z308" i="2"/>
  <c r="Z359" i="2" s="1"/>
  <c r="AM64" i="1"/>
  <c r="AC307" i="2" s="1"/>
  <c r="AP64" i="1"/>
  <c r="Q65" i="1"/>
  <c r="AW65" i="1"/>
  <c r="AD518" i="2" s="1"/>
  <c r="P65" i="1"/>
  <c r="AY66" i="1"/>
  <c r="BC67" i="1" s="1"/>
  <c r="AD424" i="2" s="1"/>
  <c r="AT65" i="1"/>
  <c r="AD471" i="2" s="1"/>
  <c r="AC65" i="1"/>
  <c r="AF65" i="1" s="1"/>
  <c r="W64" i="1"/>
  <c r="AC150" i="2" s="1"/>
  <c r="AA64" i="1"/>
  <c r="AC47" i="2" s="1"/>
  <c r="Y64" i="1"/>
  <c r="AH64" i="1"/>
  <c r="AC205" i="2" s="1"/>
  <c r="AJ64" i="1"/>
  <c r="S64" i="1"/>
  <c r="AC100" i="2" s="1"/>
  <c r="O66" i="1"/>
  <c r="AB67" i="1"/>
  <c r="AX67" i="1" s="1"/>
  <c r="AB66" i="1"/>
  <c r="AX66" i="1" s="1"/>
  <c r="BB66" i="1" s="1"/>
  <c r="Z49" i="2"/>
  <c r="Z102" i="2" s="1"/>
  <c r="Z152" i="2" s="1"/>
  <c r="Z207" i="2" s="1"/>
  <c r="Z258" i="2" s="1"/>
  <c r="AK63" i="1"/>
  <c r="AC255" i="2"/>
  <c r="AC359" i="2" l="1"/>
  <c r="AA425" i="2"/>
  <c r="AA472" i="2" s="1"/>
  <c r="AA519" i="2" s="1"/>
  <c r="Z309" i="2"/>
  <c r="Z360" i="2" s="1"/>
  <c r="AM65" i="1"/>
  <c r="AC308" i="2" s="1"/>
  <c r="AP65" i="1"/>
  <c r="AK64" i="1"/>
  <c r="AC256" i="2"/>
  <c r="AC66" i="1"/>
  <c r="AF66" i="1" s="1"/>
  <c r="W65" i="1"/>
  <c r="AC151" i="2" s="1"/>
  <c r="AA65" i="1"/>
  <c r="AC48" i="2" s="1"/>
  <c r="Y65" i="1"/>
  <c r="AH65" i="1"/>
  <c r="AC206" i="2" s="1"/>
  <c r="S65" i="1"/>
  <c r="AC101" i="2" s="1"/>
  <c r="AJ65" i="1"/>
  <c r="BB67" i="1"/>
  <c r="BB68" i="1"/>
  <c r="Q66" i="1"/>
  <c r="P66" i="1"/>
  <c r="AW66" i="1"/>
  <c r="AY67" i="1"/>
  <c r="BC68" i="1" s="1"/>
  <c r="AT66" i="1"/>
  <c r="AC360" i="2" l="1"/>
  <c r="AC361" i="2" s="1"/>
  <c r="AM66" i="1"/>
  <c r="AP66" i="1"/>
  <c r="AK65" i="1"/>
  <c r="AC257" i="2"/>
  <c r="AD472" i="2"/>
  <c r="AU68" i="1"/>
  <c r="AU70" i="1" s="1"/>
  <c r="AU72" i="1" s="1"/>
  <c r="AU74" i="1" s="1"/>
  <c r="AD519" i="2"/>
  <c r="AW68" i="1"/>
  <c r="AW70" i="1" s="1"/>
  <c r="AW72" i="1" s="1"/>
  <c r="AW74" i="1" s="1"/>
  <c r="AD425" i="2"/>
  <c r="BC70" i="1"/>
  <c r="BC72" i="1" s="1"/>
  <c r="BC74" i="1" s="1"/>
  <c r="BC76" i="1" s="1"/>
  <c r="BC69" i="1"/>
  <c r="BC71" i="1" s="1"/>
  <c r="BC73" i="1" s="1"/>
  <c r="BC75" i="1" s="1"/>
  <c r="W66" i="1"/>
  <c r="AH66" i="1"/>
  <c r="AC67" i="1"/>
  <c r="AF67" i="1" s="1"/>
  <c r="Y66" i="1"/>
  <c r="AA66" i="1"/>
  <c r="AC49" i="2" s="1"/>
  <c r="AC50" i="2" s="1"/>
  <c r="S66" i="1"/>
  <c r="AJ66" i="1"/>
  <c r="AP69" i="1" l="1"/>
  <c r="AP71" i="1" s="1"/>
  <c r="AP73" i="1" s="1"/>
  <c r="AP75" i="1" s="1"/>
  <c r="AP68" i="1"/>
  <c r="AP70" i="1" s="1"/>
  <c r="AP72" i="1" s="1"/>
  <c r="AP74" i="1" s="1"/>
  <c r="AC309" i="2"/>
  <c r="AC310" i="2" s="1"/>
  <c r="AM69" i="1"/>
  <c r="AM71" i="1" s="1"/>
  <c r="AM73" i="1" s="1"/>
  <c r="AM75" i="1" s="1"/>
  <c r="AM68" i="1"/>
  <c r="AM70" i="1" s="1"/>
  <c r="AM72" i="1" s="1"/>
  <c r="AM74" i="1" s="1"/>
  <c r="AF69" i="1"/>
  <c r="AF71" i="1" s="1"/>
  <c r="AF73" i="1" s="1"/>
  <c r="AF75" i="1" s="1"/>
  <c r="AF68" i="1"/>
  <c r="AF70" i="1" s="1"/>
  <c r="AF72" i="1" s="1"/>
  <c r="AF74" i="1" s="1"/>
  <c r="AC207" i="2"/>
  <c r="AC208" i="2" s="1"/>
  <c r="AH68" i="1"/>
  <c r="AH70" i="1" s="1"/>
  <c r="AH72" i="1" s="1"/>
  <c r="AH74" i="1" s="1"/>
  <c r="AH69" i="1"/>
  <c r="AH71" i="1" s="1"/>
  <c r="AH73" i="1" s="1"/>
  <c r="AH75" i="1" s="1"/>
  <c r="AC152" i="2"/>
  <c r="AC153" i="2" s="1"/>
  <c r="W67" i="1"/>
  <c r="W69" i="1" s="1"/>
  <c r="W71" i="1" s="1"/>
  <c r="W73" i="1" s="1"/>
  <c r="W68" i="1"/>
  <c r="W70" i="1" s="1"/>
  <c r="W72" i="1" s="1"/>
  <c r="W74" i="1" s="1"/>
  <c r="AK66" i="1"/>
  <c r="AC258" i="2"/>
  <c r="AC259" i="2" s="1"/>
  <c r="AC102" i="2"/>
  <c r="AC103" i="2" s="1"/>
  <c r="S68" i="1"/>
  <c r="S70" i="1" s="1"/>
  <c r="S72" i="1" s="1"/>
  <c r="S74" i="1" s="1"/>
  <c r="S67" i="1"/>
  <c r="S69" i="1" s="1"/>
  <c r="S71" i="1" s="1"/>
  <c r="S73" i="1" s="1"/>
  <c r="AK68" i="1" l="1"/>
  <c r="AK70" i="1" s="1"/>
  <c r="AK72" i="1" s="1"/>
  <c r="AK74" i="1" s="1"/>
  <c r="AK69" i="1"/>
  <c r="AK71" i="1" s="1"/>
  <c r="AK73" i="1" s="1"/>
  <c r="AK75" i="1" s="1"/>
</calcChain>
</file>

<file path=xl/sharedStrings.xml><?xml version="1.0" encoding="utf-8"?>
<sst xmlns="http://schemas.openxmlformats.org/spreadsheetml/2006/main" count="400" uniqueCount="118">
  <si>
    <t>L</t>
  </si>
  <si>
    <t>n</t>
  </si>
  <si>
    <t>n*L</t>
  </si>
  <si>
    <t>m</t>
  </si>
  <si>
    <t>bod</t>
  </si>
  <si>
    <t>Výpočet příčinkových čar na konstrukci</t>
  </si>
  <si>
    <t>Výpočet průběhu příčinkových čar na spojitém nosníku o třech polích s konstantní tuhostí EI.</t>
  </si>
  <si>
    <r>
      <t>h</t>
    </r>
    <r>
      <rPr>
        <sz val="10"/>
        <rFont val="Arial"/>
        <charset val="238"/>
      </rPr>
      <t xml:space="preserve"> M X</t>
    </r>
  </si>
  <si>
    <r>
      <t>h</t>
    </r>
    <r>
      <rPr>
        <sz val="12"/>
        <rFont val="Arial"/>
        <charset val="238"/>
      </rPr>
      <t xml:space="preserve"> M X</t>
    </r>
  </si>
  <si>
    <t>Příčinková čára momentu v průřezu X (průřez s maximálním ohybovým momentem</t>
  </si>
  <si>
    <t>Vstupní hodnoty:</t>
  </si>
  <si>
    <t>Rozpětí hlavního pole:</t>
  </si>
  <si>
    <t>Násobek n krajního pole:</t>
  </si>
  <si>
    <t>Rozpětí krajního pole:</t>
  </si>
  <si>
    <t>v staničení:</t>
  </si>
  <si>
    <t>Staničení průřezu X:</t>
  </si>
  <si>
    <t>Bod</t>
  </si>
  <si>
    <t>x</t>
  </si>
  <si>
    <t>[m]</t>
  </si>
  <si>
    <t>POLE 1</t>
  </si>
  <si>
    <t>POLE 2</t>
  </si>
  <si>
    <r>
      <t xml:space="preserve">Plocha </t>
    </r>
    <r>
      <rPr>
        <i/>
        <sz val="10"/>
        <rFont val="Symbol"/>
        <family val="1"/>
        <charset val="2"/>
      </rPr>
      <t>h</t>
    </r>
    <r>
      <rPr>
        <sz val="10"/>
        <rFont val="Arial"/>
        <charset val="238"/>
      </rPr>
      <t xml:space="preserve"> MX [m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charset val="238"/>
      </rPr>
      <t>]:</t>
    </r>
  </si>
  <si>
    <t>POLE 3</t>
  </si>
  <si>
    <r>
      <t xml:space="preserve">Výpočet pořadnice </t>
    </r>
    <r>
      <rPr>
        <sz val="10"/>
        <rFont val="Symbol"/>
        <family val="1"/>
        <charset val="2"/>
      </rPr>
      <t>h</t>
    </r>
    <r>
      <rPr>
        <sz val="10"/>
        <rFont val="Arial"/>
        <charset val="238"/>
      </rPr>
      <t xml:space="preserve"> MX ve staničení:</t>
    </r>
  </si>
  <si>
    <t>(pořadnice příčinkových čar spočteny pro P = 1)</t>
  </si>
  <si>
    <r>
      <t xml:space="preserve">Pořadnice příčinkové čáry á </t>
    </r>
    <r>
      <rPr>
        <i/>
        <vertAlign val="superscript"/>
        <sz val="10"/>
        <rFont val="Arial"/>
        <family val="2"/>
        <charset val="238"/>
      </rPr>
      <t>1</t>
    </r>
    <r>
      <rPr>
        <i/>
        <sz val="10"/>
        <rFont val="Arial"/>
        <family val="2"/>
        <charset val="238"/>
      </rPr>
      <t>/</t>
    </r>
    <r>
      <rPr>
        <i/>
        <vertAlign val="subscript"/>
        <sz val="10"/>
        <rFont val="Arial"/>
        <family val="2"/>
        <charset val="238"/>
      </rPr>
      <t>20</t>
    </r>
    <r>
      <rPr>
        <i/>
        <sz val="10"/>
        <rFont val="Arial"/>
        <family val="2"/>
        <charset val="238"/>
      </rPr>
      <t xml:space="preserve"> rozpětí:</t>
    </r>
  </si>
  <si>
    <r>
      <t xml:space="preserve">v krajním poli  od spojitého zatížení </t>
    </r>
    <r>
      <rPr>
        <i/>
        <sz val="10"/>
        <rFont val="Arial"/>
        <family val="2"/>
        <charset val="238"/>
      </rPr>
      <t>f</t>
    </r>
    <r>
      <rPr>
        <sz val="10"/>
        <rFont val="Arial"/>
        <charset val="238"/>
      </rPr>
      <t xml:space="preserve"> )</t>
    </r>
  </si>
  <si>
    <r>
      <t xml:space="preserve">Průběh příčinkové čáry </t>
    </r>
    <r>
      <rPr>
        <i/>
        <sz val="10"/>
        <rFont val="Symbol"/>
        <family val="1"/>
        <charset val="2"/>
      </rPr>
      <t>h</t>
    </r>
    <r>
      <rPr>
        <i/>
        <sz val="10"/>
        <rFont val="Arial"/>
        <charset val="238"/>
      </rPr>
      <t xml:space="preserve"> MX:</t>
    </r>
  </si>
  <si>
    <r>
      <t>h</t>
    </r>
    <r>
      <rPr>
        <sz val="12"/>
        <rFont val="Arial"/>
        <charset val="238"/>
      </rPr>
      <t xml:space="preserve"> M10</t>
    </r>
  </si>
  <si>
    <r>
      <t xml:space="preserve">Průběh příčinkové čáry </t>
    </r>
    <r>
      <rPr>
        <i/>
        <sz val="10"/>
        <rFont val="Symbol"/>
        <family val="1"/>
        <charset val="2"/>
      </rPr>
      <t>h</t>
    </r>
    <r>
      <rPr>
        <i/>
        <sz val="10"/>
        <rFont val="Arial"/>
        <charset val="238"/>
      </rPr>
      <t xml:space="preserve"> M10:</t>
    </r>
  </si>
  <si>
    <r>
      <t xml:space="preserve">Příčinková čára momentu nad podporou </t>
    </r>
    <r>
      <rPr>
        <i/>
        <sz val="10"/>
        <rFont val="Arial"/>
        <family val="2"/>
        <charset val="238"/>
      </rPr>
      <t>b</t>
    </r>
    <r>
      <rPr>
        <sz val="10"/>
        <rFont val="Arial"/>
        <charset val="238"/>
      </rPr>
      <t xml:space="preserve"> </t>
    </r>
  </si>
  <si>
    <t>MX min</t>
  </si>
  <si>
    <t>A</t>
  </si>
  <si>
    <t>B</t>
  </si>
  <si>
    <t>C</t>
  </si>
  <si>
    <t>xi1</t>
  </si>
  <si>
    <t>xi2</t>
  </si>
  <si>
    <t>Staničení průřezu "10":</t>
  </si>
  <si>
    <t>Pořadnice příč. čáry - maximum:</t>
  </si>
  <si>
    <t xml:space="preserve"> - minimum: </t>
  </si>
  <si>
    <t>M10max</t>
  </si>
  <si>
    <t>fi b</t>
  </si>
  <si>
    <t>fi c</t>
  </si>
  <si>
    <r>
      <t xml:space="preserve">Výpočet pořadnice </t>
    </r>
    <r>
      <rPr>
        <sz val="10"/>
        <rFont val="Symbol"/>
        <family val="1"/>
        <charset val="2"/>
      </rPr>
      <t>h</t>
    </r>
    <r>
      <rPr>
        <sz val="10"/>
        <rFont val="Arial"/>
        <charset val="238"/>
      </rPr>
      <t xml:space="preserve"> M10 ve staničení:</t>
    </r>
  </si>
  <si>
    <r>
      <t xml:space="preserve">Plocha </t>
    </r>
    <r>
      <rPr>
        <i/>
        <sz val="10"/>
        <rFont val="Symbol"/>
        <family val="1"/>
        <charset val="2"/>
      </rPr>
      <t>h</t>
    </r>
    <r>
      <rPr>
        <sz val="10"/>
        <rFont val="Arial"/>
        <charset val="238"/>
      </rPr>
      <t xml:space="preserve"> M10 [m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charset val="238"/>
      </rPr>
      <t>]:</t>
    </r>
  </si>
  <si>
    <r>
      <t>h</t>
    </r>
    <r>
      <rPr>
        <sz val="12"/>
        <rFont val="Arial"/>
        <charset val="238"/>
      </rPr>
      <t xml:space="preserve"> M15</t>
    </r>
  </si>
  <si>
    <t>Příčinková čára momentu v polovině rozpětí hlavního pole</t>
  </si>
  <si>
    <t>Staničení průřezu "15":</t>
  </si>
  <si>
    <r>
      <t>h</t>
    </r>
    <r>
      <rPr>
        <sz val="10"/>
        <rFont val="Arial"/>
        <charset val="238"/>
      </rPr>
      <t xml:space="preserve"> M 15</t>
    </r>
  </si>
  <si>
    <r>
      <t>h</t>
    </r>
    <r>
      <rPr>
        <sz val="10"/>
        <rFont val="Arial"/>
        <charset val="238"/>
      </rPr>
      <t xml:space="preserve"> M 10</t>
    </r>
  </si>
  <si>
    <r>
      <t xml:space="preserve">Průběh příčinkové čáry </t>
    </r>
    <r>
      <rPr>
        <i/>
        <sz val="10"/>
        <rFont val="Symbol"/>
        <family val="1"/>
        <charset val="2"/>
      </rPr>
      <t>h</t>
    </r>
    <r>
      <rPr>
        <i/>
        <sz val="10"/>
        <rFont val="Arial"/>
        <charset val="238"/>
      </rPr>
      <t xml:space="preserve"> M15:</t>
    </r>
  </si>
  <si>
    <r>
      <t xml:space="preserve">Výpočet pořadnice </t>
    </r>
    <r>
      <rPr>
        <sz val="10"/>
        <rFont val="Symbol"/>
        <family val="1"/>
        <charset val="2"/>
      </rPr>
      <t>h</t>
    </r>
    <r>
      <rPr>
        <sz val="10"/>
        <rFont val="Arial"/>
        <charset val="238"/>
      </rPr>
      <t xml:space="preserve"> M15 ve staničení:</t>
    </r>
  </si>
  <si>
    <t>(Pozn.: Vstupní editovatelné hodnoty označeny modře)</t>
  </si>
  <si>
    <t>M15 min</t>
  </si>
  <si>
    <r>
      <t>h</t>
    </r>
    <r>
      <rPr>
        <sz val="12"/>
        <rFont val="Arial"/>
        <charset val="238"/>
      </rPr>
      <t xml:space="preserve"> Ra</t>
    </r>
  </si>
  <si>
    <t>Příčinková čára svislé rekce v podpoře a:</t>
  </si>
  <si>
    <t>Staničení průřezu "a":</t>
  </si>
  <si>
    <r>
      <t>h</t>
    </r>
    <r>
      <rPr>
        <sz val="10"/>
        <rFont val="Arial"/>
        <charset val="238"/>
      </rPr>
      <t xml:space="preserve"> Ra</t>
    </r>
  </si>
  <si>
    <t>[-]</t>
  </si>
  <si>
    <r>
      <t xml:space="preserve">Plocha </t>
    </r>
    <r>
      <rPr>
        <i/>
        <sz val="10"/>
        <rFont val="Symbol"/>
        <family val="1"/>
        <charset val="2"/>
      </rPr>
      <t>h</t>
    </r>
    <r>
      <rPr>
        <sz val="10"/>
        <rFont val="Arial"/>
        <charset val="238"/>
      </rPr>
      <t xml:space="preserve"> Ra [m</t>
    </r>
    <r>
      <rPr>
        <sz val="10"/>
        <rFont val="Arial"/>
        <charset val="238"/>
      </rPr>
      <t>]:</t>
    </r>
  </si>
  <si>
    <r>
      <t xml:space="preserve">Výpočet pořadnice </t>
    </r>
    <r>
      <rPr>
        <sz val="10"/>
        <rFont val="Symbol"/>
        <family val="1"/>
        <charset val="2"/>
      </rPr>
      <t>h</t>
    </r>
    <r>
      <rPr>
        <sz val="10"/>
        <rFont val="Arial"/>
        <charset val="238"/>
      </rPr>
      <t xml:space="preserve"> Ra ve staničení:</t>
    </r>
  </si>
  <si>
    <r>
      <t xml:space="preserve">Průběh příčinkové čáry </t>
    </r>
    <r>
      <rPr>
        <i/>
        <sz val="10"/>
        <rFont val="Symbol"/>
        <family val="1"/>
        <charset val="2"/>
      </rPr>
      <t>h</t>
    </r>
    <r>
      <rPr>
        <i/>
        <sz val="10"/>
        <rFont val="Arial"/>
        <charset val="238"/>
      </rPr>
      <t xml:space="preserve"> Ra:</t>
    </r>
  </si>
  <si>
    <r>
      <t>h</t>
    </r>
    <r>
      <rPr>
        <sz val="12"/>
        <rFont val="Arial"/>
        <charset val="238"/>
      </rPr>
      <t xml:space="preserve"> Q</t>
    </r>
    <r>
      <rPr>
        <vertAlign val="subscript"/>
        <sz val="12"/>
        <rFont val="Arial"/>
        <family val="2"/>
        <charset val="238"/>
      </rPr>
      <t>bL</t>
    </r>
  </si>
  <si>
    <r>
      <t>Příčinková čára posouvající síly Q</t>
    </r>
    <r>
      <rPr>
        <vertAlign val="subscript"/>
        <sz val="10"/>
        <rFont val="Arial"/>
        <family val="2"/>
        <charset val="238"/>
      </rPr>
      <t>bL</t>
    </r>
    <r>
      <rPr>
        <sz val="10"/>
        <rFont val="Arial"/>
        <charset val="238"/>
      </rPr>
      <t>:</t>
    </r>
  </si>
  <si>
    <t>Staničení průřezu "b":</t>
  </si>
  <si>
    <r>
      <t xml:space="preserve">Plocha </t>
    </r>
    <r>
      <rPr>
        <i/>
        <sz val="10"/>
        <rFont val="Symbol"/>
        <family val="1"/>
        <charset val="2"/>
      </rPr>
      <t>h</t>
    </r>
    <r>
      <rPr>
        <sz val="10"/>
        <rFont val="Arial"/>
        <charset val="238"/>
      </rPr>
      <t xml:space="preserve"> Q</t>
    </r>
    <r>
      <rPr>
        <vertAlign val="subscript"/>
        <sz val="10"/>
        <rFont val="Arial"/>
        <family val="2"/>
        <charset val="238"/>
      </rPr>
      <t>bL</t>
    </r>
    <r>
      <rPr>
        <sz val="10"/>
        <rFont val="Arial"/>
        <charset val="238"/>
      </rPr>
      <t xml:space="preserve"> [m]:</t>
    </r>
  </si>
  <si>
    <r>
      <t>h</t>
    </r>
    <r>
      <rPr>
        <sz val="10"/>
        <rFont val="Arial"/>
        <charset val="238"/>
      </rPr>
      <t xml:space="preserve"> Q</t>
    </r>
    <r>
      <rPr>
        <vertAlign val="subscript"/>
        <sz val="10"/>
        <rFont val="Arial"/>
        <family val="2"/>
        <charset val="238"/>
      </rPr>
      <t>bL</t>
    </r>
  </si>
  <si>
    <r>
      <t xml:space="preserve">Průběh příčinkové čáry </t>
    </r>
    <r>
      <rPr>
        <i/>
        <sz val="10"/>
        <rFont val="Symbol"/>
        <family val="1"/>
        <charset val="2"/>
      </rPr>
      <t>h</t>
    </r>
    <r>
      <rPr>
        <i/>
        <sz val="10"/>
        <rFont val="Arial"/>
        <charset val="238"/>
      </rPr>
      <t xml:space="preserve"> Q</t>
    </r>
    <r>
      <rPr>
        <i/>
        <vertAlign val="subscript"/>
        <sz val="10"/>
        <rFont val="Arial"/>
        <family val="2"/>
        <charset val="238"/>
      </rPr>
      <t>bL</t>
    </r>
    <r>
      <rPr>
        <i/>
        <sz val="10"/>
        <rFont val="Arial"/>
        <charset val="238"/>
      </rPr>
      <t>:</t>
    </r>
  </si>
  <si>
    <r>
      <t xml:space="preserve">Výpočet pořadnice </t>
    </r>
    <r>
      <rPr>
        <sz val="10"/>
        <rFont val="Symbol"/>
        <family val="1"/>
        <charset val="2"/>
      </rPr>
      <t>h</t>
    </r>
    <r>
      <rPr>
        <sz val="10"/>
        <rFont val="Arial"/>
        <charset val="238"/>
      </rPr>
      <t xml:space="preserve"> Q</t>
    </r>
    <r>
      <rPr>
        <vertAlign val="subscript"/>
        <sz val="10"/>
        <rFont val="Arial"/>
        <family val="2"/>
        <charset val="238"/>
      </rPr>
      <t>bL</t>
    </r>
    <r>
      <rPr>
        <sz val="10"/>
        <rFont val="Arial"/>
        <charset val="238"/>
      </rPr>
      <t xml:space="preserve"> ve staničení:</t>
    </r>
  </si>
  <si>
    <r>
      <t xml:space="preserve">Plocha </t>
    </r>
    <r>
      <rPr>
        <i/>
        <sz val="10"/>
        <rFont val="Symbol"/>
        <family val="1"/>
        <charset val="2"/>
      </rPr>
      <t>h</t>
    </r>
    <r>
      <rPr>
        <sz val="10"/>
        <rFont val="Arial"/>
        <charset val="238"/>
      </rPr>
      <t xml:space="preserve"> M15 [m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charset val="238"/>
      </rPr>
      <t>]:</t>
    </r>
  </si>
  <si>
    <t>derivace přičinkových čar</t>
  </si>
  <si>
    <t>Derivace příčinkových čar ohybových momentů</t>
  </si>
  <si>
    <t xml:space="preserve">Derivace příčinkové čáry momentu v průřezu X (průřez s maximálním ohybovým </t>
  </si>
  <si>
    <r>
      <t xml:space="preserve">momentem v krajním poli  od spojitého zatížení </t>
    </r>
    <r>
      <rPr>
        <i/>
        <sz val="10"/>
        <rFont val="Arial"/>
        <family val="2"/>
        <charset val="238"/>
      </rPr>
      <t>f</t>
    </r>
    <r>
      <rPr>
        <sz val="10"/>
        <rFont val="Arial"/>
        <charset val="238"/>
      </rPr>
      <t xml:space="preserve"> )</t>
    </r>
  </si>
  <si>
    <r>
      <t>h</t>
    </r>
    <r>
      <rPr>
        <sz val="12"/>
        <rFont val="Arial"/>
        <charset val="238"/>
      </rPr>
      <t xml:space="preserve"> M X</t>
    </r>
    <r>
      <rPr>
        <sz val="14"/>
        <rFont val="Arial"/>
        <family val="2"/>
        <charset val="238"/>
      </rPr>
      <t>'</t>
    </r>
  </si>
  <si>
    <r>
      <t xml:space="preserve">Pořadnice derivace příčinkové čáry á </t>
    </r>
    <r>
      <rPr>
        <i/>
        <vertAlign val="superscript"/>
        <sz val="10"/>
        <rFont val="Arial"/>
        <family val="2"/>
        <charset val="238"/>
      </rPr>
      <t>1</t>
    </r>
    <r>
      <rPr>
        <i/>
        <sz val="10"/>
        <rFont val="Arial"/>
        <family val="2"/>
        <charset val="238"/>
      </rPr>
      <t>/</t>
    </r>
    <r>
      <rPr>
        <i/>
        <vertAlign val="subscript"/>
        <sz val="10"/>
        <rFont val="Arial"/>
        <family val="2"/>
        <charset val="238"/>
      </rPr>
      <t>20</t>
    </r>
    <r>
      <rPr>
        <i/>
        <sz val="10"/>
        <rFont val="Arial"/>
        <family val="2"/>
        <charset val="238"/>
      </rPr>
      <t xml:space="preserve"> rozpětí:</t>
    </r>
  </si>
  <si>
    <r>
      <t>h</t>
    </r>
    <r>
      <rPr>
        <sz val="12"/>
        <rFont val="Arial"/>
        <charset val="238"/>
      </rPr>
      <t xml:space="preserve"> M10</t>
    </r>
    <r>
      <rPr>
        <sz val="14"/>
        <rFont val="Arial"/>
        <family val="2"/>
        <charset val="238"/>
      </rPr>
      <t>'</t>
    </r>
  </si>
  <si>
    <r>
      <t>h</t>
    </r>
    <r>
      <rPr>
        <sz val="10"/>
        <rFont val="Arial"/>
        <charset val="238"/>
      </rPr>
      <t xml:space="preserve"> MX'</t>
    </r>
  </si>
  <si>
    <r>
      <t>h</t>
    </r>
    <r>
      <rPr>
        <sz val="10"/>
        <rFont val="Arial"/>
        <charset val="238"/>
      </rPr>
      <t xml:space="preserve"> M10'</t>
    </r>
  </si>
  <si>
    <r>
      <t xml:space="preserve">Průběh derivace příčinkové čáry </t>
    </r>
    <r>
      <rPr>
        <i/>
        <sz val="10"/>
        <rFont val="Symbol"/>
        <family val="1"/>
        <charset val="2"/>
      </rPr>
      <t>h</t>
    </r>
    <r>
      <rPr>
        <i/>
        <sz val="10"/>
        <rFont val="Arial"/>
        <charset val="238"/>
      </rPr>
      <t xml:space="preserve"> M10:</t>
    </r>
  </si>
  <si>
    <t>Derivace příčinkové čáry ohybového momentu nad podporou b</t>
  </si>
  <si>
    <r>
      <t>h</t>
    </r>
    <r>
      <rPr>
        <sz val="12"/>
        <rFont val="Arial"/>
        <charset val="238"/>
      </rPr>
      <t xml:space="preserve"> M15</t>
    </r>
    <r>
      <rPr>
        <sz val="14"/>
        <rFont val="Arial"/>
        <family val="2"/>
        <charset val="238"/>
      </rPr>
      <t>'</t>
    </r>
  </si>
  <si>
    <t>Derivace příčinkové čáry ohybového momentu v polovině rozpětí hlavního pole</t>
  </si>
  <si>
    <r>
      <t xml:space="preserve">Průběh derivace příčinkové čáry </t>
    </r>
    <r>
      <rPr>
        <i/>
        <sz val="10"/>
        <rFont val="Symbol"/>
        <family val="1"/>
        <charset val="2"/>
      </rPr>
      <t>h</t>
    </r>
    <r>
      <rPr>
        <i/>
        <sz val="10"/>
        <rFont val="Arial"/>
        <charset val="238"/>
      </rPr>
      <t xml:space="preserve"> M15:</t>
    </r>
  </si>
  <si>
    <r>
      <t>h</t>
    </r>
    <r>
      <rPr>
        <sz val="10"/>
        <rFont val="Arial"/>
        <charset val="238"/>
      </rPr>
      <t xml:space="preserve"> M15'</t>
    </r>
  </si>
  <si>
    <r>
      <t xml:space="preserve">Průběh derivace příčinkové čáry </t>
    </r>
    <r>
      <rPr>
        <i/>
        <sz val="10"/>
        <rFont val="Symbol"/>
        <family val="1"/>
        <charset val="2"/>
      </rPr>
      <t>h</t>
    </r>
    <r>
      <rPr>
        <i/>
        <sz val="10"/>
        <rFont val="Arial"/>
        <charset val="238"/>
      </rPr>
      <t xml:space="preserve"> MX:</t>
    </r>
  </si>
  <si>
    <t>Grafika:</t>
  </si>
  <si>
    <r>
      <t>x</t>
    </r>
    <r>
      <rPr>
        <vertAlign val="subscript"/>
        <sz val="10"/>
        <color rgb="FFFF0000"/>
        <rFont val="Arial"/>
        <family val="2"/>
        <charset val="238"/>
      </rPr>
      <t>i</t>
    </r>
    <r>
      <rPr>
        <vertAlign val="superscript"/>
        <sz val="10"/>
        <color rgb="FFFF0000"/>
        <rFont val="Arial"/>
        <family val="2"/>
        <charset val="238"/>
      </rPr>
      <t>G</t>
    </r>
  </si>
  <si>
    <r>
      <t>x</t>
    </r>
    <r>
      <rPr>
        <vertAlign val="subscript"/>
        <sz val="10"/>
        <color rgb="FFFF0000"/>
        <rFont val="Arial"/>
        <family val="2"/>
        <charset val="238"/>
      </rPr>
      <t>i</t>
    </r>
    <r>
      <rPr>
        <vertAlign val="superscript"/>
        <sz val="10"/>
        <color rgb="FFFF0000"/>
        <rFont val="Arial"/>
        <family val="2"/>
        <charset val="238"/>
      </rPr>
      <t>L</t>
    </r>
  </si>
  <si>
    <r>
      <t>h j</t>
    </r>
    <r>
      <rPr>
        <vertAlign val="subscript"/>
        <sz val="10"/>
        <color rgb="FFFF0000"/>
        <rFont val="Arial"/>
        <family val="2"/>
        <charset val="238"/>
      </rPr>
      <t>b</t>
    </r>
  </si>
  <si>
    <r>
      <t>h j</t>
    </r>
    <r>
      <rPr>
        <vertAlign val="subscript"/>
        <sz val="10"/>
        <color rgb="FFFF0000"/>
        <rFont val="Arial"/>
        <family val="2"/>
        <charset val="238"/>
      </rPr>
      <t>c</t>
    </r>
  </si>
  <si>
    <r>
      <t>M</t>
    </r>
    <r>
      <rPr>
        <vertAlign val="subscript"/>
        <sz val="10"/>
        <color rgb="FFFF0000"/>
        <rFont val="Arial"/>
        <family val="2"/>
        <charset val="238"/>
      </rPr>
      <t>ba</t>
    </r>
  </si>
  <si>
    <r>
      <t>h M</t>
    </r>
    <r>
      <rPr>
        <vertAlign val="subscript"/>
        <sz val="10"/>
        <color rgb="FFFF0000"/>
        <rFont val="Arial"/>
        <family val="2"/>
        <charset val="238"/>
      </rPr>
      <t>10</t>
    </r>
  </si>
  <si>
    <r>
      <t>M</t>
    </r>
    <r>
      <rPr>
        <vertAlign val="subscript"/>
        <sz val="10"/>
        <color rgb="FFFF0000"/>
        <rFont val="Arial"/>
        <family val="2"/>
        <charset val="238"/>
      </rPr>
      <t>bc</t>
    </r>
  </si>
  <si>
    <r>
      <t>M</t>
    </r>
    <r>
      <rPr>
        <vertAlign val="subscript"/>
        <sz val="10"/>
        <color rgb="FFFF0000"/>
        <rFont val="Arial"/>
        <family val="2"/>
        <charset val="238"/>
      </rPr>
      <t>cb</t>
    </r>
  </si>
  <si>
    <r>
      <t>M</t>
    </r>
    <r>
      <rPr>
        <vertAlign val="superscript"/>
        <sz val="10"/>
        <color rgb="FFFF0000"/>
        <rFont val="Arial"/>
        <family val="2"/>
        <charset val="238"/>
      </rPr>
      <t>0</t>
    </r>
  </si>
  <si>
    <r>
      <t>h M</t>
    </r>
    <r>
      <rPr>
        <vertAlign val="subscript"/>
        <sz val="10"/>
        <color rgb="FFFF0000"/>
        <rFont val="Arial"/>
        <family val="2"/>
        <charset val="238"/>
      </rPr>
      <t>15</t>
    </r>
  </si>
  <si>
    <r>
      <t>h M</t>
    </r>
    <r>
      <rPr>
        <vertAlign val="subscript"/>
        <sz val="10"/>
        <color rgb="FFFF0000"/>
        <rFont val="Arial"/>
        <family val="2"/>
        <charset val="238"/>
      </rPr>
      <t>5</t>
    </r>
  </si>
  <si>
    <r>
      <t>h M</t>
    </r>
    <r>
      <rPr>
        <vertAlign val="subscript"/>
        <sz val="10"/>
        <color rgb="FFFF0000"/>
        <rFont val="Arial"/>
        <family val="2"/>
        <charset val="238"/>
      </rPr>
      <t>X</t>
    </r>
  </si>
  <si>
    <r>
      <t>x</t>
    </r>
    <r>
      <rPr>
        <vertAlign val="subscript"/>
        <sz val="10"/>
        <color rgb="FFFF0000"/>
        <rFont val="Arial"/>
        <family val="2"/>
        <charset val="238"/>
      </rPr>
      <t>i</t>
    </r>
    <r>
      <rPr>
        <vertAlign val="superscript"/>
        <sz val="10"/>
        <color rgb="FFFF0000"/>
        <rFont val="Arial"/>
        <family val="2"/>
        <charset val="238"/>
      </rPr>
      <t>G+EXTR</t>
    </r>
  </si>
  <si>
    <r>
      <t>Q</t>
    </r>
    <r>
      <rPr>
        <vertAlign val="subscript"/>
        <sz val="10"/>
        <color rgb="FFFF0000"/>
        <rFont val="Arial"/>
        <family val="2"/>
        <charset val="238"/>
      </rPr>
      <t>a</t>
    </r>
    <r>
      <rPr>
        <vertAlign val="superscript"/>
        <sz val="10"/>
        <color rgb="FFFF0000"/>
        <rFont val="Arial"/>
        <family val="2"/>
        <charset val="238"/>
      </rPr>
      <t>0</t>
    </r>
  </si>
  <si>
    <r>
      <t xml:space="preserve">h </t>
    </r>
    <r>
      <rPr>
        <sz val="10"/>
        <color rgb="FFFF0000"/>
        <rFont val="Arial"/>
        <family val="2"/>
        <charset val="238"/>
      </rPr>
      <t>R</t>
    </r>
    <r>
      <rPr>
        <vertAlign val="subscript"/>
        <sz val="10"/>
        <color rgb="FFFF0000"/>
        <rFont val="Arial"/>
        <family val="2"/>
        <charset val="238"/>
      </rPr>
      <t>a</t>
    </r>
  </si>
  <si>
    <r>
      <t>Q</t>
    </r>
    <r>
      <rPr>
        <vertAlign val="subscript"/>
        <sz val="10"/>
        <color rgb="FFFF0000"/>
        <rFont val="Arial"/>
        <family val="2"/>
        <charset val="238"/>
      </rPr>
      <t>ba</t>
    </r>
    <r>
      <rPr>
        <vertAlign val="superscript"/>
        <sz val="10"/>
        <color rgb="FFFF0000"/>
        <rFont val="Arial"/>
        <family val="2"/>
        <charset val="238"/>
      </rPr>
      <t>0</t>
    </r>
  </si>
  <si>
    <r>
      <t xml:space="preserve">h </t>
    </r>
    <r>
      <rPr>
        <sz val="10"/>
        <color rgb="FFFF0000"/>
        <rFont val="Arial"/>
        <family val="2"/>
        <charset val="238"/>
      </rPr>
      <t>Q</t>
    </r>
    <r>
      <rPr>
        <vertAlign val="subscript"/>
        <sz val="10"/>
        <color rgb="FFFF0000"/>
        <rFont val="Arial"/>
        <family val="2"/>
        <charset val="238"/>
      </rPr>
      <t>ba</t>
    </r>
  </si>
  <si>
    <r>
      <t>h M</t>
    </r>
    <r>
      <rPr>
        <vertAlign val="subscript"/>
        <sz val="10"/>
        <color rgb="FFFF0000"/>
        <rFont val="Arial"/>
        <family val="2"/>
        <charset val="238"/>
      </rPr>
      <t>10</t>
    </r>
    <r>
      <rPr>
        <sz val="10"/>
        <color rgb="FFFF0000"/>
        <rFont val="Arial"/>
        <family val="2"/>
        <charset val="238"/>
      </rPr>
      <t>'</t>
    </r>
  </si>
  <si>
    <r>
      <t>h M</t>
    </r>
    <r>
      <rPr>
        <vertAlign val="subscript"/>
        <sz val="10"/>
        <color rgb="FFFF0000"/>
        <rFont val="Arial"/>
        <family val="2"/>
        <charset val="238"/>
      </rPr>
      <t>15</t>
    </r>
    <r>
      <rPr>
        <sz val="10"/>
        <color rgb="FFFF0000"/>
        <rFont val="Arial"/>
        <family val="2"/>
        <charset val="238"/>
      </rPr>
      <t>'</t>
    </r>
  </si>
  <si>
    <r>
      <t>h M</t>
    </r>
    <r>
      <rPr>
        <vertAlign val="subscript"/>
        <sz val="10"/>
        <color rgb="FFFF0000"/>
        <rFont val="Arial"/>
        <family val="2"/>
        <charset val="238"/>
      </rPr>
      <t>X</t>
    </r>
    <r>
      <rPr>
        <sz val="10"/>
        <color rgb="FFFF0000"/>
        <rFont val="Arial"/>
        <family val="2"/>
        <charset val="238"/>
      </rPr>
      <t>'</t>
    </r>
  </si>
  <si>
    <t>n Rb</t>
  </si>
  <si>
    <t>Qba0</t>
  </si>
  <si>
    <t>Qbc0</t>
  </si>
  <si>
    <t>n Qbc</t>
  </si>
  <si>
    <r>
      <t>h</t>
    </r>
    <r>
      <rPr>
        <sz val="12"/>
        <rFont val="Arial"/>
        <charset val="238"/>
      </rPr>
      <t xml:space="preserve"> Q</t>
    </r>
    <r>
      <rPr>
        <vertAlign val="subscript"/>
        <sz val="12"/>
        <rFont val="Arial"/>
        <family val="2"/>
        <charset val="238"/>
      </rPr>
      <t>bP</t>
    </r>
  </si>
  <si>
    <r>
      <t>Příčinková čára posouvající síly Q</t>
    </r>
    <r>
      <rPr>
        <vertAlign val="subscript"/>
        <sz val="10"/>
        <rFont val="Arial"/>
        <family val="2"/>
        <charset val="238"/>
      </rPr>
      <t>bP</t>
    </r>
    <r>
      <rPr>
        <sz val="10"/>
        <rFont val="Arial"/>
        <charset val="238"/>
      </rPr>
      <t>:</t>
    </r>
  </si>
  <si>
    <t>OK</t>
  </si>
  <si>
    <t>???</t>
  </si>
  <si>
    <t>doplnit</t>
  </si>
  <si>
    <r>
      <t xml:space="preserve">Průběh příčinkové čáry </t>
    </r>
    <r>
      <rPr>
        <i/>
        <sz val="10"/>
        <rFont val="Symbol"/>
        <family val="1"/>
        <charset val="2"/>
      </rPr>
      <t>h</t>
    </r>
    <r>
      <rPr>
        <i/>
        <sz val="10"/>
        <rFont val="Arial"/>
        <charset val="238"/>
      </rPr>
      <t xml:space="preserve"> Q</t>
    </r>
    <r>
      <rPr>
        <i/>
        <vertAlign val="subscript"/>
        <sz val="10"/>
        <rFont val="Arial"/>
        <family val="2"/>
        <charset val="238"/>
      </rPr>
      <t>bP</t>
    </r>
    <r>
      <rPr>
        <i/>
        <sz val="10"/>
        <rFont val="Arial"/>
        <charset val="238"/>
      </rPr>
      <t>:</t>
    </r>
  </si>
  <si>
    <t>přenos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</si>
</sst>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0.000"/>
  </numFmts>
  <fonts count="31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sz val="10"/>
      <name val="Symbol"/>
      <family val="1"/>
      <charset val="2"/>
    </font>
    <font>
      <vertAlign val="sub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u/>
      <sz val="16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Symbol"/>
      <family val="1"/>
      <charset val="2"/>
    </font>
    <font>
      <i/>
      <sz val="12"/>
      <name val="Symbol"/>
      <family val="1"/>
      <charset val="2"/>
    </font>
    <font>
      <sz val="12"/>
      <name val="Arial"/>
      <charset val="238"/>
    </font>
    <font>
      <i/>
      <sz val="8"/>
      <name val="Arial"/>
      <family val="2"/>
      <charset val="238"/>
    </font>
    <font>
      <i/>
      <sz val="8"/>
      <color indexed="12"/>
      <name val="Arial"/>
      <family val="2"/>
      <charset val="238"/>
    </font>
    <font>
      <b/>
      <u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i/>
      <vertAlign val="subscript"/>
      <sz val="10"/>
      <name val="Arial"/>
      <family val="2"/>
      <charset val="238"/>
    </font>
    <font>
      <i/>
      <sz val="10"/>
      <name val="Arial"/>
      <charset val="238"/>
    </font>
    <font>
      <vertAlign val="subscript"/>
      <sz val="12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vertAlign val="subscript"/>
      <sz val="10"/>
      <color rgb="FFFF0000"/>
      <name val="Arial"/>
      <family val="2"/>
      <charset val="238"/>
    </font>
    <font>
      <vertAlign val="superscript"/>
      <sz val="10"/>
      <color rgb="FFFF0000"/>
      <name val="Arial"/>
      <family val="2"/>
      <charset val="238"/>
    </font>
    <font>
      <sz val="10"/>
      <color rgb="FFFF0000"/>
      <name val="Symbol"/>
      <family val="1"/>
      <charset val="238"/>
    </font>
    <font>
      <sz val="10"/>
      <color rgb="FF00B05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rgb="FFFFC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0" fillId="0" borderId="0" xfId="0" applyFont="1"/>
    <xf numFmtId="0" fontId="12" fillId="0" borderId="0" xfId="0" applyFont="1"/>
    <xf numFmtId="0" fontId="15" fillId="0" borderId="0" xfId="0" applyFont="1"/>
    <xf numFmtId="0" fontId="16" fillId="0" borderId="0" xfId="0" applyFont="1"/>
    <xf numFmtId="0" fontId="14" fillId="0" borderId="0" xfId="0" applyFont="1" applyBorder="1" applyAlignment="1">
      <alignment horizontal="left"/>
    </xf>
    <xf numFmtId="0" fontId="19" fillId="0" borderId="0" xfId="0" applyFont="1"/>
    <xf numFmtId="0" fontId="0" fillId="0" borderId="0" xfId="0" applyBorder="1" applyAlignment="1">
      <alignment horizontal="right"/>
    </xf>
    <xf numFmtId="0" fontId="22" fillId="0" borderId="0" xfId="0" applyFont="1"/>
    <xf numFmtId="0" fontId="23" fillId="0" borderId="0" xfId="0" applyFont="1" applyBorder="1" applyAlignment="1" applyProtection="1">
      <alignment horizontal="center"/>
      <protection hidden="1"/>
    </xf>
    <xf numFmtId="0" fontId="23" fillId="0" borderId="0" xfId="0" applyFont="1" applyBorder="1" applyProtection="1">
      <protection hidden="1"/>
    </xf>
    <xf numFmtId="0" fontId="23" fillId="0" borderId="0" xfId="0" applyFont="1" applyBorder="1" applyAlignment="1" applyProtection="1">
      <alignment horizontal="right"/>
      <protection hidden="1"/>
    </xf>
    <xf numFmtId="2" fontId="23" fillId="0" borderId="0" xfId="0" applyNumberFormat="1" applyFont="1" applyBorder="1" applyAlignment="1" applyProtection="1">
      <alignment horizontal="center"/>
      <protection hidden="1"/>
    </xf>
    <xf numFmtId="165" fontId="23" fillId="0" borderId="0" xfId="0" applyNumberFormat="1" applyFont="1" applyBorder="1" applyProtection="1">
      <protection hidden="1"/>
    </xf>
    <xf numFmtId="165" fontId="23" fillId="0" borderId="0" xfId="0" applyNumberFormat="1" applyFont="1" applyBorder="1" applyAlignment="1" applyProtection="1">
      <alignment horizontal="center"/>
      <protection hidden="1"/>
    </xf>
    <xf numFmtId="0" fontId="24" fillId="0" borderId="0" xfId="0" applyFont="1" applyBorder="1" applyProtection="1">
      <protection hidden="1"/>
    </xf>
    <xf numFmtId="0" fontId="27" fillId="0" borderId="0" xfId="0" applyFont="1" applyBorder="1" applyAlignment="1" applyProtection="1">
      <alignment horizontal="center"/>
      <protection hidden="1"/>
    </xf>
    <xf numFmtId="0" fontId="27" fillId="0" borderId="0" xfId="0" applyFont="1" applyBorder="1" applyAlignment="1" applyProtection="1">
      <alignment horizontal="center" vertical="center"/>
      <protection hidden="1"/>
    </xf>
    <xf numFmtId="2" fontId="23" fillId="0" borderId="0" xfId="0" applyNumberFormat="1" applyFont="1" applyBorder="1" applyProtection="1">
      <protection hidden="1"/>
    </xf>
    <xf numFmtId="164" fontId="23" fillId="0" borderId="0" xfId="1" applyFont="1" applyBorder="1" applyAlignment="1" applyProtection="1">
      <alignment horizontal="left"/>
      <protection hidden="1"/>
    </xf>
    <xf numFmtId="0" fontId="23" fillId="0" borderId="0" xfId="0" applyFont="1"/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3" fillId="0" borderId="0" xfId="0" applyFont="1" applyBorder="1" applyAlignment="1">
      <alignment horizontal="right"/>
    </xf>
    <xf numFmtId="0" fontId="23" fillId="0" borderId="0" xfId="0" applyFont="1" applyAlignment="1">
      <alignment horizontal="center"/>
    </xf>
    <xf numFmtId="2" fontId="2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7" fillId="2" borderId="0" xfId="0" applyFont="1" applyFill="1" applyBorder="1" applyAlignment="1" applyProtection="1">
      <alignment horizontal="center"/>
      <protection hidden="1"/>
    </xf>
    <xf numFmtId="0" fontId="27" fillId="0" borderId="0" xfId="0" applyFont="1" applyFill="1" applyBorder="1" applyAlignment="1" applyProtection="1">
      <alignment horizontal="center"/>
      <protection hidden="1"/>
    </xf>
    <xf numFmtId="165" fontId="28" fillId="0" borderId="0" xfId="0" applyNumberFormat="1" applyFont="1" applyBorder="1" applyAlignment="1" applyProtection="1">
      <alignment horizontal="center"/>
      <protection hidden="1"/>
    </xf>
    <xf numFmtId="0" fontId="28" fillId="0" borderId="0" xfId="0" applyFont="1" applyFill="1" applyBorder="1" applyAlignment="1" applyProtection="1">
      <alignment horizontal="center"/>
      <protection hidden="1"/>
    </xf>
    <xf numFmtId="0" fontId="6" fillId="0" borderId="0" xfId="0" applyFont="1"/>
    <xf numFmtId="0" fontId="28" fillId="0" borderId="0" xfId="0" applyFont="1"/>
    <xf numFmtId="165" fontId="28" fillId="0" borderId="0" xfId="0" applyNumberFormat="1" applyFont="1" applyFill="1" applyBorder="1" applyAlignment="1" applyProtection="1">
      <alignment horizontal="center"/>
      <protection hidden="1"/>
    </xf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0" fontId="28" fillId="2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 applyBorder="1" applyAlignment="1" applyProtection="1">
      <alignment horizontal="center"/>
      <protection hidden="1"/>
    </xf>
    <xf numFmtId="165" fontId="29" fillId="0" borderId="0" xfId="0" applyNumberFormat="1" applyFont="1" applyBorder="1" applyAlignment="1" applyProtection="1">
      <alignment horizontal="center"/>
      <protection hidden="1"/>
    </xf>
    <xf numFmtId="0" fontId="29" fillId="0" borderId="0" xfId="0" applyFont="1" applyBorder="1" applyAlignment="1" applyProtection="1">
      <alignment horizontal="center"/>
      <protection hidden="1"/>
    </xf>
    <xf numFmtId="0" fontId="30" fillId="0" borderId="0" xfId="0" applyFont="1" applyBorder="1" applyProtection="1">
      <protection hidden="1"/>
    </xf>
    <xf numFmtId="165" fontId="0" fillId="0" borderId="0" xfId="0" applyNumberFormat="1"/>
    <xf numFmtId="0" fontId="0" fillId="0" borderId="31" xfId="0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165" fontId="0" fillId="0" borderId="10" xfId="0" applyNumberFormat="1" applyFill="1" applyBorder="1" applyAlignment="1">
      <alignment horizontal="center"/>
    </xf>
    <xf numFmtId="165" fontId="0" fillId="0" borderId="35" xfId="0" applyNumberFormat="1" applyFill="1" applyBorder="1" applyAlignment="1">
      <alignment horizontal="center"/>
    </xf>
    <xf numFmtId="165" fontId="0" fillId="0" borderId="36" xfId="0" applyNumberFormat="1" applyFill="1" applyBorder="1" applyAlignment="1">
      <alignment horizontal="center"/>
    </xf>
    <xf numFmtId="165" fontId="0" fillId="0" borderId="41" xfId="0" applyNumberFormat="1" applyFill="1" applyBorder="1" applyAlignment="1">
      <alignment horizontal="center"/>
    </xf>
    <xf numFmtId="165" fontId="0" fillId="0" borderId="37" xfId="0" applyNumberFormat="1" applyFill="1" applyBorder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165" fontId="8" fillId="2" borderId="0" xfId="0" applyNumberFormat="1" applyFont="1" applyFill="1" applyAlignment="1">
      <alignment horizontal="center"/>
    </xf>
    <xf numFmtId="0" fontId="8" fillId="0" borderId="29" xfId="0" applyFont="1" applyBorder="1" applyAlignment="1">
      <alignment horizontal="left" vertical="center" textRotation="90"/>
    </xf>
    <xf numFmtId="0" fontId="8" fillId="0" borderId="30" xfId="0" applyFont="1" applyBorder="1" applyAlignment="1">
      <alignment horizontal="left" vertical="center" textRotation="90"/>
    </xf>
    <xf numFmtId="0" fontId="8" fillId="0" borderId="45" xfId="0" applyFont="1" applyBorder="1" applyAlignment="1">
      <alignment horizontal="left" vertical="center" textRotation="9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39" xfId="0" applyBorder="1" applyAlignment="1">
      <alignment horizontal="center"/>
    </xf>
    <xf numFmtId="2" fontId="0" fillId="0" borderId="38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165" fontId="0" fillId="0" borderId="38" xfId="0" applyNumberFormat="1" applyBorder="1" applyAlignment="1">
      <alignment horizontal="center" vertical="center"/>
    </xf>
    <xf numFmtId="165" fontId="0" fillId="0" borderId="39" xfId="0" applyNumberFormat="1" applyBorder="1" applyAlignment="1">
      <alignment horizontal="center" vertical="center"/>
    </xf>
    <xf numFmtId="165" fontId="0" fillId="0" borderId="43" xfId="0" applyNumberFormat="1" applyBorder="1" applyAlignment="1">
      <alignment horizontal="center" vertical="center"/>
    </xf>
    <xf numFmtId="165" fontId="0" fillId="0" borderId="40" xfId="0" applyNumberFormat="1" applyBorder="1" applyAlignment="1">
      <alignment horizontal="center" vertical="center"/>
    </xf>
    <xf numFmtId="0" fontId="8" fillId="0" borderId="13" xfId="0" applyFont="1" applyBorder="1" applyAlignment="1">
      <alignment horizontal="left" vertical="center" textRotation="90"/>
    </xf>
    <xf numFmtId="0" fontId="8" fillId="0" borderId="14" xfId="0" applyFont="1" applyBorder="1" applyAlignment="1">
      <alignment horizontal="left" vertical="center" textRotation="90"/>
    </xf>
    <xf numFmtId="0" fontId="8" fillId="0" borderId="44" xfId="0" applyFont="1" applyBorder="1" applyAlignment="1">
      <alignment horizontal="left" vertical="center" textRotation="90"/>
    </xf>
    <xf numFmtId="2" fontId="6" fillId="0" borderId="0" xfId="0" applyNumberFormat="1" applyFont="1" applyAlignment="1">
      <alignment horizontal="center"/>
    </xf>
    <xf numFmtId="165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65" fontId="6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15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165" fontId="8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165" fontId="0" fillId="0" borderId="0" xfId="0" applyNumberFormat="1" applyAlignment="1" applyProtection="1">
      <alignment horizontal="center"/>
      <protection hidden="1"/>
    </xf>
    <xf numFmtId="0" fontId="8" fillId="0" borderId="0" xfId="0" applyFont="1" applyAlignment="1">
      <alignment horizontal="center"/>
    </xf>
    <xf numFmtId="165" fontId="0" fillId="0" borderId="0" xfId="0" applyNumberFormat="1" applyFill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8" fillId="0" borderId="15" xfId="0" applyFont="1" applyBorder="1" applyAlignment="1">
      <alignment horizontal="left" vertical="center" textRotation="90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65" fontId="0" fillId="0" borderId="8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0" fontId="8" fillId="0" borderId="31" xfId="0" applyFont="1" applyBorder="1" applyAlignment="1">
      <alignment horizontal="left" vertical="center" textRotation="90"/>
    </xf>
    <xf numFmtId="0" fontId="27" fillId="0" borderId="0" xfId="0" applyFont="1" applyBorder="1" applyAlignment="1" applyProtection="1">
      <alignment horizontal="center"/>
      <protection hidden="1"/>
    </xf>
    <xf numFmtId="0" fontId="27" fillId="2" borderId="0" xfId="0" applyFont="1" applyFill="1" applyBorder="1" applyAlignment="1" applyProtection="1">
      <alignment horizontal="center"/>
      <protection hidden="1"/>
    </xf>
    <xf numFmtId="0" fontId="28" fillId="0" borderId="0" xfId="0" applyFont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513292560495806E-2"/>
          <c:y val="7.143102735707596E-2"/>
          <c:w val="0.92361188624822244"/>
          <c:h val="0.85067859852517735"/>
        </c:manualLayout>
      </c:layout>
      <c:scatterChart>
        <c:scatterStyle val="smoothMarker"/>
        <c:varyColors val="0"/>
        <c:ser>
          <c:idx val="2"/>
          <c:order val="0"/>
          <c:tx>
            <c:v>Mba</c:v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vypocet!$AB$6:$AB$67</c:f>
              <c:numCache>
                <c:formatCode>0.000</c:formatCode>
                <c:ptCount val="62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5.3809523809523823</c:v>
                </c:pt>
                <c:pt idx="7">
                  <c:v>5.4</c:v>
                </c:pt>
                <c:pt idx="8">
                  <c:v>6.3000000000000007</c:v>
                </c:pt>
                <c:pt idx="9">
                  <c:v>7.2000000000000011</c:v>
                </c:pt>
                <c:pt idx="10">
                  <c:v>8.1000000000000014</c:v>
                </c:pt>
                <c:pt idx="11">
                  <c:v>9.0000000000000018</c:v>
                </c:pt>
                <c:pt idx="12">
                  <c:v>9.9000000000000021</c:v>
                </c:pt>
                <c:pt idx="13">
                  <c:v>10.800000000000002</c:v>
                </c:pt>
                <c:pt idx="14">
                  <c:v>11.700000000000003</c:v>
                </c:pt>
                <c:pt idx="15">
                  <c:v>12.600000000000003</c:v>
                </c:pt>
                <c:pt idx="16">
                  <c:v>13.500000000000004</c:v>
                </c:pt>
                <c:pt idx="17">
                  <c:v>14.400000000000004</c:v>
                </c:pt>
                <c:pt idx="18">
                  <c:v>15.300000000000004</c:v>
                </c:pt>
                <c:pt idx="19">
                  <c:v>16.200000000000003</c:v>
                </c:pt>
                <c:pt idx="20">
                  <c:v>17.100000000000001</c:v>
                </c:pt>
                <c:pt idx="21">
                  <c:v>18</c:v>
                </c:pt>
                <c:pt idx="22">
                  <c:v>19.5</c:v>
                </c:pt>
                <c:pt idx="23">
                  <c:v>21</c:v>
                </c:pt>
                <c:pt idx="24">
                  <c:v>22.5</c:v>
                </c:pt>
                <c:pt idx="25">
                  <c:v>24</c:v>
                </c:pt>
                <c:pt idx="26">
                  <c:v>25.5</c:v>
                </c:pt>
                <c:pt idx="27">
                  <c:v>27</c:v>
                </c:pt>
                <c:pt idx="28">
                  <c:v>28.5</c:v>
                </c:pt>
                <c:pt idx="29">
                  <c:v>30</c:v>
                </c:pt>
                <c:pt idx="30">
                  <c:v>31.5</c:v>
                </c:pt>
                <c:pt idx="31">
                  <c:v>33</c:v>
                </c:pt>
                <c:pt idx="32">
                  <c:v>34.5</c:v>
                </c:pt>
                <c:pt idx="33">
                  <c:v>36</c:v>
                </c:pt>
                <c:pt idx="34">
                  <c:v>37.5</c:v>
                </c:pt>
                <c:pt idx="35">
                  <c:v>39</c:v>
                </c:pt>
                <c:pt idx="36">
                  <c:v>40.5</c:v>
                </c:pt>
                <c:pt idx="37">
                  <c:v>42</c:v>
                </c:pt>
                <c:pt idx="38">
                  <c:v>43.5</c:v>
                </c:pt>
                <c:pt idx="39">
                  <c:v>45</c:v>
                </c:pt>
                <c:pt idx="40">
                  <c:v>46.5</c:v>
                </c:pt>
                <c:pt idx="41">
                  <c:v>48</c:v>
                </c:pt>
                <c:pt idx="42">
                  <c:v>48.9</c:v>
                </c:pt>
                <c:pt idx="43">
                  <c:v>49.8</c:v>
                </c:pt>
                <c:pt idx="44">
                  <c:v>50.699999999999996</c:v>
                </c:pt>
                <c:pt idx="45">
                  <c:v>51.599999999999994</c:v>
                </c:pt>
                <c:pt idx="46">
                  <c:v>52.499999999999993</c:v>
                </c:pt>
                <c:pt idx="47">
                  <c:v>53.399999999999991</c:v>
                </c:pt>
                <c:pt idx="48">
                  <c:v>54.29999999999999</c:v>
                </c:pt>
                <c:pt idx="49">
                  <c:v>55.199999999999989</c:v>
                </c:pt>
                <c:pt idx="50">
                  <c:v>56.099999999999987</c:v>
                </c:pt>
                <c:pt idx="51">
                  <c:v>56.999999999999986</c:v>
                </c:pt>
                <c:pt idx="52">
                  <c:v>57.899999999999984</c:v>
                </c:pt>
                <c:pt idx="53">
                  <c:v>58.799999999999983</c:v>
                </c:pt>
                <c:pt idx="54">
                  <c:v>59.699999999999982</c:v>
                </c:pt>
                <c:pt idx="55">
                  <c:v>60.59999999999998</c:v>
                </c:pt>
                <c:pt idx="56">
                  <c:v>61.499999999999979</c:v>
                </c:pt>
                <c:pt idx="57">
                  <c:v>62.399999999999977</c:v>
                </c:pt>
                <c:pt idx="58">
                  <c:v>63.299999999999976</c:v>
                </c:pt>
                <c:pt idx="59">
                  <c:v>64.199999999999974</c:v>
                </c:pt>
                <c:pt idx="60">
                  <c:v>65.09999999999998</c:v>
                </c:pt>
                <c:pt idx="61">
                  <c:v>65.999999999999986</c:v>
                </c:pt>
              </c:numCache>
            </c:numRef>
          </c:xVal>
          <c:yVal>
            <c:numRef>
              <c:f>vypocet!$AF$6:$AF$67</c:f>
              <c:numCache>
                <c:formatCode>0.000</c:formatCode>
                <c:ptCount val="62"/>
                <c:pt idx="0">
                  <c:v>0</c:v>
                </c:pt>
                <c:pt idx="1">
                  <c:v>0.57518614718614702</c:v>
                </c:pt>
                <c:pt idx="2">
                  <c:v>1.1512108843537412</c:v>
                </c:pt>
                <c:pt idx="3">
                  <c:v>1.7289128014842299</c:v>
                </c:pt>
                <c:pt idx="4">
                  <c:v>2.3091304885590591</c:v>
                </c:pt>
                <c:pt idx="5">
                  <c:v>2.8927025355596778</c:v>
                </c:pt>
                <c:pt idx="6">
                  <c:v>3.4679789013426672</c:v>
                </c:pt>
                <c:pt idx="7">
                  <c:v>3.4614199134199137</c:v>
                </c:pt>
                <c:pt idx="8">
                  <c:v>3.1542164502164503</c:v>
                </c:pt>
                <c:pt idx="9">
                  <c:v>2.8528831168831168</c:v>
                </c:pt>
                <c:pt idx="10">
                  <c:v>2.558258503401361</c:v>
                </c:pt>
                <c:pt idx="11">
                  <c:v>2.2711811997526277</c:v>
                </c:pt>
                <c:pt idx="12">
                  <c:v>1.9924897959183665</c:v>
                </c:pt>
                <c:pt idx="13">
                  <c:v>1.7230228818800237</c:v>
                </c:pt>
                <c:pt idx="14">
                  <c:v>1.4636190476190465</c:v>
                </c:pt>
                <c:pt idx="15">
                  <c:v>1.2151168831168815</c:v>
                </c:pt>
                <c:pt idx="16">
                  <c:v>0.97835497835497798</c:v>
                </c:pt>
                <c:pt idx="17">
                  <c:v>0.75417192331477834</c:v>
                </c:pt>
                <c:pt idx="18">
                  <c:v>0.54340630797773681</c:v>
                </c:pt>
                <c:pt idx="19">
                  <c:v>0.34689672232529384</c:v>
                </c:pt>
                <c:pt idx="20">
                  <c:v>0.16548175633889928</c:v>
                </c:pt>
                <c:pt idx="21">
                  <c:v>0</c:v>
                </c:pt>
                <c:pt idx="22">
                  <c:v>-0.23927476293547728</c:v>
                </c:pt>
                <c:pt idx="23">
                  <c:v>-0.43501855287569596</c:v>
                </c:pt>
                <c:pt idx="24">
                  <c:v>-0.59028872912801489</c:v>
                </c:pt>
                <c:pt idx="25">
                  <c:v>-0.70814265099979412</c:v>
                </c:pt>
                <c:pt idx="26">
                  <c:v>-0.79163767779839234</c:v>
                </c:pt>
                <c:pt idx="27">
                  <c:v>-0.84383116883116893</c:v>
                </c:pt>
                <c:pt idx="28">
                  <c:v>-0.86778048340548364</c:v>
                </c:pt>
                <c:pt idx="29">
                  <c:v>-0.8665429808286953</c:v>
                </c:pt>
                <c:pt idx="30">
                  <c:v>-0.84317602040816375</c:v>
                </c:pt>
                <c:pt idx="31">
                  <c:v>-0.8007369614512474</c:v>
                </c:pt>
                <c:pt idx="32">
                  <c:v>-0.74228316326530619</c:v>
                </c:pt>
                <c:pt idx="33">
                  <c:v>-0.67087198515769964</c:v>
                </c:pt>
                <c:pt idx="34">
                  <c:v>-0.58956078643578658</c:v>
                </c:pt>
                <c:pt idx="35">
                  <c:v>-0.50140692640692652</c:v>
                </c:pt>
                <c:pt idx="36">
                  <c:v>-0.40946776437847876</c:v>
                </c:pt>
                <c:pt idx="37">
                  <c:v>-0.31680065965780252</c:v>
                </c:pt>
                <c:pt idx="38">
                  <c:v>-0.22646297155225734</c:v>
                </c:pt>
                <c:pt idx="39">
                  <c:v>-0.14151205936920222</c:v>
                </c:pt>
                <c:pt idx="40">
                  <c:v>-6.5005282415996776E-2</c:v>
                </c:pt>
                <c:pt idx="41">
                  <c:v>0</c:v>
                </c:pt>
                <c:pt idx="42">
                  <c:v>3.2364332096474907E-2</c:v>
                </c:pt>
                <c:pt idx="43">
                  <c:v>5.9749536178107528E-2</c:v>
                </c:pt>
                <c:pt idx="44">
                  <c:v>8.2417671614100102E-2</c:v>
                </c:pt>
                <c:pt idx="45">
                  <c:v>0.10063079777365483</c:v>
                </c:pt>
                <c:pt idx="46">
                  <c:v>0.11465097402597398</c:v>
                </c:pt>
                <c:pt idx="47">
                  <c:v>0.12474025974025967</c:v>
                </c:pt>
                <c:pt idx="48">
                  <c:v>0.13116071428571427</c:v>
                </c:pt>
                <c:pt idx="49">
                  <c:v>0.13417439703153988</c:v>
                </c:pt>
                <c:pt idx="50">
                  <c:v>0.13404336734693884</c:v>
                </c:pt>
                <c:pt idx="51">
                  <c:v>0.13102968460111325</c:v>
                </c:pt>
                <c:pt idx="52">
                  <c:v>0.12539540816326544</c:v>
                </c:pt>
                <c:pt idx="53">
                  <c:v>0.11740259740259756</c:v>
                </c:pt>
                <c:pt idx="54">
                  <c:v>0.1073133116883119</c:v>
                </c:pt>
                <c:pt idx="55">
                  <c:v>9.5389610389610704E-2</c:v>
                </c:pt>
                <c:pt idx="56">
                  <c:v>8.189355287569608E-2</c:v>
                </c:pt>
                <c:pt idx="57">
                  <c:v>6.7087198515770358E-2</c:v>
                </c:pt>
                <c:pt idx="58">
                  <c:v>5.1232606679035696E-2</c:v>
                </c:pt>
                <c:pt idx="59">
                  <c:v>3.4591836734694369E-2</c:v>
                </c:pt>
                <c:pt idx="60">
                  <c:v>1.7426948051948454E-2</c:v>
                </c:pt>
                <c:pt idx="61">
                  <c:v>2.7154805580658597E-16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F0-426E-A560-CACEF2EBEC02}"/>
            </c:ext>
          </c:extLst>
        </c:ser>
        <c:ser>
          <c:idx val="0"/>
          <c:order val="1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vypocet!$AE$68:$AE$69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vypocet!$AF$68:$AF$69</c:f>
              <c:numCache>
                <c:formatCode>0.000</c:formatCode>
                <c:ptCount val="2"/>
                <c:pt idx="0">
                  <c:v>-0.86778048340548364</c:v>
                </c:pt>
                <c:pt idx="1">
                  <c:v>3.4679789013426672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FF0-426E-A560-CACEF2EBEC02}"/>
            </c:ext>
          </c:extLst>
        </c:ser>
        <c:ser>
          <c:idx val="1"/>
          <c:order val="2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vypocet!$AE$70:$AE$71</c:f>
              <c:numCache>
                <c:formatCode>General</c:formatCode>
                <c:ptCount val="2"/>
                <c:pt idx="0">
                  <c:v>18</c:v>
                </c:pt>
                <c:pt idx="1">
                  <c:v>18</c:v>
                </c:pt>
              </c:numCache>
            </c:numRef>
          </c:xVal>
          <c:yVal>
            <c:numRef>
              <c:f>vypocet!$AF$70:$AF$71</c:f>
              <c:numCache>
                <c:formatCode>General</c:formatCode>
                <c:ptCount val="2"/>
                <c:pt idx="0">
                  <c:v>-0.86778048340548364</c:v>
                </c:pt>
                <c:pt idx="1">
                  <c:v>3.4679789013426672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FF0-426E-A560-CACEF2EBEC02}"/>
            </c:ext>
          </c:extLst>
        </c:ser>
        <c:ser>
          <c:idx val="3"/>
          <c:order val="3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vypocet!$AE$72:$AE$73</c:f>
              <c:numCache>
                <c:formatCode>General</c:formatCode>
                <c:ptCount val="2"/>
                <c:pt idx="0">
                  <c:v>48</c:v>
                </c:pt>
                <c:pt idx="1">
                  <c:v>48</c:v>
                </c:pt>
              </c:numCache>
            </c:numRef>
          </c:xVal>
          <c:yVal>
            <c:numRef>
              <c:f>vypocet!$AF$72:$AF$73</c:f>
              <c:numCache>
                <c:formatCode>General</c:formatCode>
                <c:ptCount val="2"/>
                <c:pt idx="0">
                  <c:v>-0.86778048340548364</c:v>
                </c:pt>
                <c:pt idx="1">
                  <c:v>3.4679789013426672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FF0-426E-A560-CACEF2EBEC02}"/>
            </c:ext>
          </c:extLst>
        </c:ser>
        <c:ser>
          <c:idx val="4"/>
          <c:order val="4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vypocet!$AE$74:$AE$75</c:f>
              <c:numCache>
                <c:formatCode>General</c:formatCode>
                <c:ptCount val="2"/>
                <c:pt idx="0">
                  <c:v>66</c:v>
                </c:pt>
                <c:pt idx="1">
                  <c:v>66</c:v>
                </c:pt>
              </c:numCache>
            </c:numRef>
          </c:xVal>
          <c:yVal>
            <c:numRef>
              <c:f>vypocet!$AF$74:$AF$75</c:f>
              <c:numCache>
                <c:formatCode>General</c:formatCode>
                <c:ptCount val="2"/>
                <c:pt idx="0">
                  <c:v>-0.86778048340548364</c:v>
                </c:pt>
                <c:pt idx="1">
                  <c:v>3.4679789013426672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FF0-426E-A560-CACEF2EBE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4827183"/>
        <c:axId val="1"/>
      </c:scatterChart>
      <c:valAx>
        <c:axId val="1934827183"/>
        <c:scaling>
          <c:orientation val="minMax"/>
        </c:scaling>
        <c:delete val="0"/>
        <c:axPos val="t"/>
        <c:numFmt formatCode="0.00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  <c:minorUnit val="0.32339999999999997"/>
      </c:valAx>
      <c:valAx>
        <c:axId val="1"/>
        <c:scaling>
          <c:orientation val="maxMin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34827183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768149894296714E-2"/>
          <c:y val="6.3975122612425744E-2"/>
          <c:w val="0.93133794946693871"/>
          <c:h val="0.82157525881220417"/>
        </c:manualLayout>
      </c:layout>
      <c:scatterChart>
        <c:scatterStyle val="smoothMarker"/>
        <c:varyColors val="0"/>
        <c:ser>
          <c:idx val="2"/>
          <c:order val="0"/>
          <c:tx>
            <c:v>Mba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vypocet!$N$6:$N$66</c:f>
              <c:numCache>
                <c:formatCode>0.00</c:formatCode>
                <c:ptCount val="6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6.3000000000000007</c:v>
                </c:pt>
                <c:pt idx="8">
                  <c:v>7.2000000000000011</c:v>
                </c:pt>
                <c:pt idx="9">
                  <c:v>8.1000000000000014</c:v>
                </c:pt>
                <c:pt idx="10">
                  <c:v>9.0000000000000018</c:v>
                </c:pt>
                <c:pt idx="11">
                  <c:v>9.9000000000000021</c:v>
                </c:pt>
                <c:pt idx="12">
                  <c:v>10.800000000000002</c:v>
                </c:pt>
                <c:pt idx="13">
                  <c:v>11.700000000000003</c:v>
                </c:pt>
                <c:pt idx="14">
                  <c:v>12.600000000000003</c:v>
                </c:pt>
                <c:pt idx="15">
                  <c:v>13.500000000000004</c:v>
                </c:pt>
                <c:pt idx="16">
                  <c:v>14.400000000000004</c:v>
                </c:pt>
                <c:pt idx="17">
                  <c:v>15.300000000000004</c:v>
                </c:pt>
                <c:pt idx="18">
                  <c:v>16.200000000000003</c:v>
                </c:pt>
                <c:pt idx="19">
                  <c:v>17.100000000000001</c:v>
                </c:pt>
                <c:pt idx="20">
                  <c:v>18</c:v>
                </c:pt>
                <c:pt idx="21">
                  <c:v>19.5</c:v>
                </c:pt>
                <c:pt idx="22">
                  <c:v>21</c:v>
                </c:pt>
                <c:pt idx="23">
                  <c:v>22.5</c:v>
                </c:pt>
                <c:pt idx="24">
                  <c:v>24</c:v>
                </c:pt>
                <c:pt idx="25">
                  <c:v>25.5</c:v>
                </c:pt>
                <c:pt idx="26">
                  <c:v>27</c:v>
                </c:pt>
                <c:pt idx="27">
                  <c:v>28.5</c:v>
                </c:pt>
                <c:pt idx="28">
                  <c:v>30</c:v>
                </c:pt>
                <c:pt idx="29">
                  <c:v>31.5</c:v>
                </c:pt>
                <c:pt idx="30">
                  <c:v>33</c:v>
                </c:pt>
                <c:pt idx="31">
                  <c:v>34.5</c:v>
                </c:pt>
                <c:pt idx="32">
                  <c:v>36</c:v>
                </c:pt>
                <c:pt idx="33">
                  <c:v>37.5</c:v>
                </c:pt>
                <c:pt idx="34">
                  <c:v>39</c:v>
                </c:pt>
                <c:pt idx="35">
                  <c:v>40.5</c:v>
                </c:pt>
                <c:pt idx="36">
                  <c:v>42</c:v>
                </c:pt>
                <c:pt idx="37">
                  <c:v>43.5</c:v>
                </c:pt>
                <c:pt idx="38">
                  <c:v>45</c:v>
                </c:pt>
                <c:pt idx="39">
                  <c:v>46.5</c:v>
                </c:pt>
                <c:pt idx="40">
                  <c:v>48</c:v>
                </c:pt>
                <c:pt idx="41">
                  <c:v>48.9</c:v>
                </c:pt>
                <c:pt idx="42">
                  <c:v>49.8</c:v>
                </c:pt>
                <c:pt idx="43">
                  <c:v>50.699999999999996</c:v>
                </c:pt>
                <c:pt idx="44">
                  <c:v>51.599999999999994</c:v>
                </c:pt>
                <c:pt idx="45">
                  <c:v>52.499999999999993</c:v>
                </c:pt>
                <c:pt idx="46">
                  <c:v>53.399999999999991</c:v>
                </c:pt>
                <c:pt idx="47">
                  <c:v>54.29999999999999</c:v>
                </c:pt>
                <c:pt idx="48">
                  <c:v>55.199999999999989</c:v>
                </c:pt>
                <c:pt idx="49">
                  <c:v>56.099999999999987</c:v>
                </c:pt>
                <c:pt idx="50">
                  <c:v>56.999999999999986</c:v>
                </c:pt>
                <c:pt idx="51">
                  <c:v>57.899999999999984</c:v>
                </c:pt>
                <c:pt idx="52">
                  <c:v>58.799999999999983</c:v>
                </c:pt>
                <c:pt idx="53">
                  <c:v>59.699999999999982</c:v>
                </c:pt>
                <c:pt idx="54">
                  <c:v>60.59999999999998</c:v>
                </c:pt>
                <c:pt idx="55">
                  <c:v>61.499999999999979</c:v>
                </c:pt>
                <c:pt idx="56">
                  <c:v>62.399999999999977</c:v>
                </c:pt>
                <c:pt idx="57">
                  <c:v>63.299999999999976</c:v>
                </c:pt>
                <c:pt idx="58">
                  <c:v>64.199999999999974</c:v>
                </c:pt>
                <c:pt idx="59">
                  <c:v>65.09999999999998</c:v>
                </c:pt>
                <c:pt idx="60">
                  <c:v>65.999999999999986</c:v>
                </c:pt>
              </c:numCache>
            </c:numRef>
          </c:xVal>
          <c:yVal>
            <c:numRef>
              <c:f>vypocet!$AQ$6:$AQ$66</c:f>
              <c:numCache>
                <c:formatCode>0.000</c:formatCode>
                <c:ptCount val="61"/>
                <c:pt idx="0">
                  <c:v>0</c:v>
                </c:pt>
                <c:pt idx="1">
                  <c:v>6.8525000000000003E-2</c:v>
                </c:pt>
                <c:pt idx="2">
                  <c:v>0.13677142857142857</c:v>
                </c:pt>
                <c:pt idx="3">
                  <c:v>0.2044607142857143</c:v>
                </c:pt>
                <c:pt idx="4">
                  <c:v>0.27131428571428573</c:v>
                </c:pt>
                <c:pt idx="5">
                  <c:v>0.3370535714285714</c:v>
                </c:pt>
                <c:pt idx="6">
                  <c:v>0.40139999999999998</c:v>
                </c:pt>
                <c:pt idx="7">
                  <c:v>0.46407499999999996</c:v>
                </c:pt>
                <c:pt idx="8">
                  <c:v>0.52479999999999993</c:v>
                </c:pt>
                <c:pt idx="9">
                  <c:v>0.58329642857142849</c:v>
                </c:pt>
                <c:pt idx="10">
                  <c:v>0.63928571428571423</c:v>
                </c:pt>
                <c:pt idx="11">
                  <c:v>0.6924892857142857</c:v>
                </c:pt>
                <c:pt idx="12">
                  <c:v>0.74262857142857142</c:v>
                </c:pt>
                <c:pt idx="13">
                  <c:v>0.78942499999999993</c:v>
                </c:pt>
                <c:pt idx="14">
                  <c:v>0.83260000000000001</c:v>
                </c:pt>
                <c:pt idx="15">
                  <c:v>0.87187500000000018</c:v>
                </c:pt>
                <c:pt idx="16">
                  <c:v>0.90697142857142865</c:v>
                </c:pt>
                <c:pt idx="17">
                  <c:v>0.93761071428571441</c:v>
                </c:pt>
                <c:pt idx="18">
                  <c:v>0.96351428571428577</c:v>
                </c:pt>
                <c:pt idx="19">
                  <c:v>0.9844035714285716</c:v>
                </c:pt>
                <c:pt idx="20">
                  <c:v>1</c:v>
                </c:pt>
                <c:pt idx="21">
                  <c:v>0.99446699134199135</c:v>
                </c:pt>
                <c:pt idx="22">
                  <c:v>0.98084415584415574</c:v>
                </c:pt>
                <c:pt idx="23">
                  <c:v>0.95969967532467515</c:v>
                </c:pt>
                <c:pt idx="24">
                  <c:v>0.93160173160173143</c:v>
                </c:pt>
                <c:pt idx="25">
                  <c:v>0.89711850649350633</c:v>
                </c:pt>
                <c:pt idx="26">
                  <c:v>0.85681818181818148</c:v>
                </c:pt>
                <c:pt idx="27">
                  <c:v>0.81126893939393907</c:v>
                </c:pt>
                <c:pt idx="28">
                  <c:v>0.76103896103896074</c:v>
                </c:pt>
                <c:pt idx="29">
                  <c:v>0.70669642857142823</c:v>
                </c:pt>
                <c:pt idx="30">
                  <c:v>0.64880952380952339</c:v>
                </c:pt>
                <c:pt idx="31">
                  <c:v>0.5879464285714282</c:v>
                </c:pt>
                <c:pt idx="32">
                  <c:v>0.52467532467532429</c:v>
                </c:pt>
                <c:pt idx="33">
                  <c:v>0.45956439393939358</c:v>
                </c:pt>
                <c:pt idx="34">
                  <c:v>0.39318181818181785</c:v>
                </c:pt>
                <c:pt idx="35">
                  <c:v>0.32609577922077887</c:v>
                </c:pt>
                <c:pt idx="36">
                  <c:v>0.25887445887445854</c:v>
                </c:pt>
                <c:pt idx="37">
                  <c:v>0.19208603896103865</c:v>
                </c:pt>
                <c:pt idx="38">
                  <c:v>0.12629870129870097</c:v>
                </c:pt>
                <c:pt idx="39">
                  <c:v>6.2080627705627403E-2</c:v>
                </c:pt>
                <c:pt idx="40">
                  <c:v>0</c:v>
                </c:pt>
                <c:pt idx="41">
                  <c:v>-2.1171428571428542E-2</c:v>
                </c:pt>
                <c:pt idx="42">
                  <c:v>-3.9085714285714238E-2</c:v>
                </c:pt>
                <c:pt idx="43">
                  <c:v>-5.3914285714285658E-2</c:v>
                </c:pt>
                <c:pt idx="44">
                  <c:v>-6.5828571428571361E-2</c:v>
                </c:pt>
                <c:pt idx="45">
                  <c:v>-7.4999999999999942E-2</c:v>
                </c:pt>
                <c:pt idx="46">
                  <c:v>-8.1599999999999936E-2</c:v>
                </c:pt>
                <c:pt idx="47">
                  <c:v>-8.579999999999996E-2</c:v>
                </c:pt>
                <c:pt idx="48">
                  <c:v>-8.7771428571428542E-2</c:v>
                </c:pt>
                <c:pt idx="49">
                  <c:v>-8.7685714285714311E-2</c:v>
                </c:pt>
                <c:pt idx="50">
                  <c:v>-8.5714285714285743E-2</c:v>
                </c:pt>
                <c:pt idx="51">
                  <c:v>-8.2028571428571506E-2</c:v>
                </c:pt>
                <c:pt idx="52">
                  <c:v>-7.6800000000000104E-2</c:v>
                </c:pt>
                <c:pt idx="53">
                  <c:v>-7.0200000000000137E-2</c:v>
                </c:pt>
                <c:pt idx="54">
                  <c:v>-6.2400000000000191E-2</c:v>
                </c:pt>
                <c:pt idx="55">
                  <c:v>-5.3571428571428797E-2</c:v>
                </c:pt>
                <c:pt idx="56">
                  <c:v>-4.3885714285714542E-2</c:v>
                </c:pt>
                <c:pt idx="57">
                  <c:v>-3.3514285714285996E-2</c:v>
                </c:pt>
                <c:pt idx="58">
                  <c:v>-2.2628571428571748E-2</c:v>
                </c:pt>
                <c:pt idx="59">
                  <c:v>-1.1400000000000264E-2</c:v>
                </c:pt>
                <c:pt idx="60">
                  <c:v>-1.7763568394002503E-16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B67-4ABB-9598-977806167419}"/>
            </c:ext>
          </c:extLst>
        </c:ser>
        <c:ser>
          <c:idx val="0"/>
          <c:order val="1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vypocet!$AG$68:$AG$69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vypocet!$AH$68:$AH$69</c:f>
              <c:numCache>
                <c:formatCode>0.000</c:formatCode>
                <c:ptCount val="2"/>
                <c:pt idx="0">
                  <c:v>-0.16126893939393938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B67-4ABB-9598-977806167419}"/>
            </c:ext>
          </c:extLst>
        </c:ser>
        <c:ser>
          <c:idx val="1"/>
          <c:order val="2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vypocet!$AG$70:$AG$71</c:f>
              <c:numCache>
                <c:formatCode>General</c:formatCode>
                <c:ptCount val="2"/>
                <c:pt idx="0">
                  <c:v>18</c:v>
                </c:pt>
                <c:pt idx="1">
                  <c:v>18</c:v>
                </c:pt>
              </c:numCache>
            </c:numRef>
          </c:xVal>
          <c:yVal>
            <c:numRef>
              <c:f>vypocet!$AH$70:$AH$71</c:f>
              <c:numCache>
                <c:formatCode>General</c:formatCode>
                <c:ptCount val="2"/>
                <c:pt idx="0">
                  <c:v>-0.16126893939393938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B67-4ABB-9598-977806167419}"/>
            </c:ext>
          </c:extLst>
        </c:ser>
        <c:ser>
          <c:idx val="3"/>
          <c:order val="3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vypocet!$AG$72:$AG$73</c:f>
              <c:numCache>
                <c:formatCode>General</c:formatCode>
                <c:ptCount val="2"/>
                <c:pt idx="0">
                  <c:v>48</c:v>
                </c:pt>
                <c:pt idx="1">
                  <c:v>48</c:v>
                </c:pt>
              </c:numCache>
            </c:numRef>
          </c:xVal>
          <c:yVal>
            <c:numRef>
              <c:f>vypocet!$AH$72:$AH$73</c:f>
              <c:numCache>
                <c:formatCode>General</c:formatCode>
                <c:ptCount val="2"/>
                <c:pt idx="0">
                  <c:v>-0.16126893939393938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B67-4ABB-9598-977806167419}"/>
            </c:ext>
          </c:extLst>
        </c:ser>
        <c:ser>
          <c:idx val="4"/>
          <c:order val="4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vypocet!$AG$74:$AG$75</c:f>
              <c:numCache>
                <c:formatCode>General</c:formatCode>
                <c:ptCount val="2"/>
                <c:pt idx="0">
                  <c:v>66</c:v>
                </c:pt>
                <c:pt idx="1">
                  <c:v>66</c:v>
                </c:pt>
              </c:numCache>
            </c:numRef>
          </c:xVal>
          <c:yVal>
            <c:numRef>
              <c:f>vypocet!$AH$74:$AH$75</c:f>
              <c:numCache>
                <c:formatCode>General</c:formatCode>
                <c:ptCount val="2"/>
                <c:pt idx="0">
                  <c:v>-0.16126893939393938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B67-4ABB-9598-977806167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4837583"/>
        <c:axId val="1"/>
      </c:scatterChart>
      <c:valAx>
        <c:axId val="1934837583"/>
        <c:scaling>
          <c:orientation val="minMax"/>
        </c:scaling>
        <c:delete val="0"/>
        <c:axPos val="t"/>
        <c:numFmt formatCode="0.0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axMin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34837583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1" u="none" strike="noStrike" baseline="0">
                <a:solidFill>
                  <a:srgbClr val="000000"/>
                </a:solidFill>
                <a:latin typeface="Symbol"/>
                <a:ea typeface="Symbol"/>
                <a:cs typeface="Symbol"/>
              </a:defRPr>
            </a:pPr>
            <a:r>
              <a:rPr lang="cs-CZ" sz="1075" b="0" i="1" u="none" strike="noStrike" baseline="0">
                <a:solidFill>
                  <a:srgbClr val="000000"/>
                </a:solidFill>
                <a:latin typeface="Symbol"/>
              </a:rPr>
              <a:t>h</a:t>
            </a:r>
            <a:r>
              <a:rPr lang="cs-CZ" sz="1075" b="0" i="0" u="none" strike="noStrike" baseline="0">
                <a:solidFill>
                  <a:srgbClr val="000000"/>
                </a:solidFill>
                <a:latin typeface="Symbol"/>
              </a:rPr>
              <a:t> j</a:t>
            </a:r>
            <a:r>
              <a:rPr lang="cs-CZ" sz="10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</a:t>
            </a:r>
          </a:p>
        </c:rich>
      </c:tx>
      <c:layout>
        <c:manualLayout>
          <c:xMode val="edge"/>
          <c:yMode val="edge"/>
          <c:x val="0.47517733655846517"/>
          <c:y val="3.9437929497239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75500374129801"/>
          <c:y val="0.21972560719890308"/>
          <c:w val="0.84991946334434576"/>
          <c:h val="0.69016376620168274"/>
        </c:manualLayout>
      </c:layout>
      <c:scatterChart>
        <c:scatterStyle val="smoothMarker"/>
        <c:varyColors val="0"/>
        <c:ser>
          <c:idx val="2"/>
          <c:order val="0"/>
          <c:tx>
            <c:v>fi b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vypocet!$N$6:$N$66</c:f>
              <c:numCache>
                <c:formatCode>0.00</c:formatCode>
                <c:ptCount val="6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6.3000000000000007</c:v>
                </c:pt>
                <c:pt idx="8">
                  <c:v>7.2000000000000011</c:v>
                </c:pt>
                <c:pt idx="9">
                  <c:v>8.1000000000000014</c:v>
                </c:pt>
                <c:pt idx="10">
                  <c:v>9.0000000000000018</c:v>
                </c:pt>
                <c:pt idx="11">
                  <c:v>9.9000000000000021</c:v>
                </c:pt>
                <c:pt idx="12">
                  <c:v>10.800000000000002</c:v>
                </c:pt>
                <c:pt idx="13">
                  <c:v>11.700000000000003</c:v>
                </c:pt>
                <c:pt idx="14">
                  <c:v>12.600000000000003</c:v>
                </c:pt>
                <c:pt idx="15">
                  <c:v>13.500000000000004</c:v>
                </c:pt>
                <c:pt idx="16">
                  <c:v>14.400000000000004</c:v>
                </c:pt>
                <c:pt idx="17">
                  <c:v>15.300000000000004</c:v>
                </c:pt>
                <c:pt idx="18">
                  <c:v>16.200000000000003</c:v>
                </c:pt>
                <c:pt idx="19">
                  <c:v>17.100000000000001</c:v>
                </c:pt>
                <c:pt idx="20">
                  <c:v>18</c:v>
                </c:pt>
                <c:pt idx="21">
                  <c:v>19.5</c:v>
                </c:pt>
                <c:pt idx="22">
                  <c:v>21</c:v>
                </c:pt>
                <c:pt idx="23">
                  <c:v>22.5</c:v>
                </c:pt>
                <c:pt idx="24">
                  <c:v>24</c:v>
                </c:pt>
                <c:pt idx="25">
                  <c:v>25.5</c:v>
                </c:pt>
                <c:pt idx="26">
                  <c:v>27</c:v>
                </c:pt>
                <c:pt idx="27">
                  <c:v>28.5</c:v>
                </c:pt>
                <c:pt idx="28">
                  <c:v>30</c:v>
                </c:pt>
                <c:pt idx="29">
                  <c:v>31.5</c:v>
                </c:pt>
                <c:pt idx="30">
                  <c:v>33</c:v>
                </c:pt>
                <c:pt idx="31">
                  <c:v>34.5</c:v>
                </c:pt>
                <c:pt idx="32">
                  <c:v>36</c:v>
                </c:pt>
                <c:pt idx="33">
                  <c:v>37.5</c:v>
                </c:pt>
                <c:pt idx="34">
                  <c:v>39</c:v>
                </c:pt>
                <c:pt idx="35">
                  <c:v>40.5</c:v>
                </c:pt>
                <c:pt idx="36">
                  <c:v>42</c:v>
                </c:pt>
                <c:pt idx="37">
                  <c:v>43.5</c:v>
                </c:pt>
                <c:pt idx="38">
                  <c:v>45</c:v>
                </c:pt>
                <c:pt idx="39">
                  <c:v>46.5</c:v>
                </c:pt>
                <c:pt idx="40">
                  <c:v>48</c:v>
                </c:pt>
                <c:pt idx="41">
                  <c:v>48.9</c:v>
                </c:pt>
                <c:pt idx="42">
                  <c:v>49.8</c:v>
                </c:pt>
                <c:pt idx="43">
                  <c:v>50.699999999999996</c:v>
                </c:pt>
                <c:pt idx="44">
                  <c:v>51.599999999999994</c:v>
                </c:pt>
                <c:pt idx="45">
                  <c:v>52.499999999999993</c:v>
                </c:pt>
                <c:pt idx="46">
                  <c:v>53.399999999999991</c:v>
                </c:pt>
                <c:pt idx="47">
                  <c:v>54.29999999999999</c:v>
                </c:pt>
                <c:pt idx="48">
                  <c:v>55.199999999999989</c:v>
                </c:pt>
                <c:pt idx="49">
                  <c:v>56.099999999999987</c:v>
                </c:pt>
                <c:pt idx="50">
                  <c:v>56.999999999999986</c:v>
                </c:pt>
                <c:pt idx="51">
                  <c:v>57.899999999999984</c:v>
                </c:pt>
                <c:pt idx="52">
                  <c:v>58.799999999999983</c:v>
                </c:pt>
                <c:pt idx="53">
                  <c:v>59.699999999999982</c:v>
                </c:pt>
                <c:pt idx="54">
                  <c:v>60.59999999999998</c:v>
                </c:pt>
                <c:pt idx="55">
                  <c:v>61.499999999999979</c:v>
                </c:pt>
                <c:pt idx="56">
                  <c:v>62.399999999999977</c:v>
                </c:pt>
                <c:pt idx="57">
                  <c:v>63.299999999999976</c:v>
                </c:pt>
                <c:pt idx="58">
                  <c:v>64.199999999999974</c:v>
                </c:pt>
                <c:pt idx="59">
                  <c:v>65.09999999999998</c:v>
                </c:pt>
                <c:pt idx="60">
                  <c:v>65.999999999999986</c:v>
                </c:pt>
              </c:numCache>
            </c:numRef>
          </c:xVal>
          <c:yVal>
            <c:numRef>
              <c:f>vypocet!$P$6:$P$66</c:f>
              <c:numCache>
                <c:formatCode>_-* #\ ##0.00\ _K_č_-;\-* #\ ##0.00\ _K_č_-;_-* "-"??\ _K_č_-;_-@_-</c:formatCode>
                <c:ptCount val="61"/>
                <c:pt idx="0" formatCode="0.000">
                  <c:v>0</c:v>
                </c:pt>
                <c:pt idx="1">
                  <c:v>1.5739772727272729</c:v>
                </c:pt>
                <c:pt idx="2" formatCode="0.000">
                  <c:v>3.1242857142857146</c:v>
                </c:pt>
                <c:pt idx="3" formatCode="0.000">
                  <c:v>4.6272564935064926</c:v>
                </c:pt>
                <c:pt idx="4" formatCode="0.000">
                  <c:v>6.0592207792207802</c:v>
                </c:pt>
                <c:pt idx="5" formatCode="0.000">
                  <c:v>7.3965097402597406</c:v>
                </c:pt>
                <c:pt idx="6" formatCode="0.000">
                  <c:v>8.615454545454547</c:v>
                </c:pt>
                <c:pt idx="7" formatCode="0.000">
                  <c:v>9.6923863636363627</c:v>
                </c:pt>
                <c:pt idx="8" formatCode="0.000">
                  <c:v>10.603636363636364</c:v>
                </c:pt>
                <c:pt idx="9" formatCode="0.000">
                  <c:v>11.325535714285717</c:v>
                </c:pt>
                <c:pt idx="10" formatCode="0.000">
                  <c:v>11.834415584415584</c:v>
                </c:pt>
                <c:pt idx="11" formatCode="0.000">
                  <c:v>12.106607142857143</c:v>
                </c:pt>
                <c:pt idx="12" formatCode="0.000">
                  <c:v>12.118441558441559</c:v>
                </c:pt>
                <c:pt idx="13" formatCode="0.000">
                  <c:v>11.84625</c:v>
                </c:pt>
                <c:pt idx="14" formatCode="0.000">
                  <c:v>11.266363636363634</c:v>
                </c:pt>
                <c:pt idx="15" formatCode="0.000">
                  <c:v>10.355113636363631</c:v>
                </c:pt>
                <c:pt idx="16" formatCode="0.000">
                  <c:v>9.0888311688311614</c:v>
                </c:pt>
                <c:pt idx="17" formatCode="0.000">
                  <c:v>7.4438474025973953</c:v>
                </c:pt>
                <c:pt idx="18" formatCode="0.000">
                  <c:v>5.3964935064935009</c:v>
                </c:pt>
                <c:pt idx="19" formatCode="0.000">
                  <c:v>2.9231006493506455</c:v>
                </c:pt>
                <c:pt idx="20" formatCode="0.000">
                  <c:v>0</c:v>
                </c:pt>
                <c:pt idx="21" formatCode="0.000">
                  <c:v>-4.8024350649350653</c:v>
                </c:pt>
                <c:pt idx="22" formatCode="0.000">
                  <c:v>-8.7311688311688336</c:v>
                </c:pt>
                <c:pt idx="23" formatCode="0.000">
                  <c:v>-11.847564935064934</c:v>
                </c:pt>
                <c:pt idx="24" formatCode="0.000">
                  <c:v>-14.212987012987016</c:v>
                </c:pt>
                <c:pt idx="25" formatCode="0.000">
                  <c:v>-15.888798701298702</c:v>
                </c:pt>
                <c:pt idx="26" formatCode="0.000">
                  <c:v>-16.936363636363634</c:v>
                </c:pt>
                <c:pt idx="27" formatCode="0.000">
                  <c:v>-17.417045454545455</c:v>
                </c:pt>
                <c:pt idx="28" formatCode="0.000">
                  <c:v>-17.392207792207792</c:v>
                </c:pt>
                <c:pt idx="29" formatCode="0.000">
                  <c:v>-16.923214285714291</c:v>
                </c:pt>
                <c:pt idx="30" formatCode="0.000">
                  <c:v>-16.071428571428573</c:v>
                </c:pt>
                <c:pt idx="31" formatCode="0.000">
                  <c:v>-14.898214285714284</c:v>
                </c:pt>
                <c:pt idx="32" formatCode="0.000">
                  <c:v>-13.464935064935066</c:v>
                </c:pt>
                <c:pt idx="33" formatCode="0.000">
                  <c:v>-11.832954545454545</c:v>
                </c:pt>
                <c:pt idx="34" formatCode="0.000">
                  <c:v>-10.063636363636364</c:v>
                </c:pt>
                <c:pt idx="35" formatCode="0.000">
                  <c:v>-8.2183441558441555</c:v>
                </c:pt>
                <c:pt idx="36" formatCode="0.000">
                  <c:v>-6.358441558441557</c:v>
                </c:pt>
                <c:pt idx="37" formatCode="0.000">
                  <c:v>-4.5452922077922082</c:v>
                </c:pt>
                <c:pt idx="38" formatCode="0.000">
                  <c:v>-2.8402597402597394</c:v>
                </c:pt>
                <c:pt idx="39" formatCode="0.000">
                  <c:v>-1.3047077922077934</c:v>
                </c:pt>
                <c:pt idx="40" formatCode="0.000">
                  <c:v>0</c:v>
                </c:pt>
                <c:pt idx="41" formatCode="0.000">
                  <c:v>0.64957792207792098</c:v>
                </c:pt>
                <c:pt idx="42" formatCode="0.000">
                  <c:v>1.1992207792207774</c:v>
                </c:pt>
                <c:pt idx="43" formatCode="0.000">
                  <c:v>1.6541883116883096</c:v>
                </c:pt>
                <c:pt idx="44" formatCode="0.000">
                  <c:v>2.0197402597402574</c:v>
                </c:pt>
                <c:pt idx="45" formatCode="0.000">
                  <c:v>2.301136363636362</c:v>
                </c:pt>
                <c:pt idx="46" formatCode="0.000">
                  <c:v>2.5036363636363617</c:v>
                </c:pt>
                <c:pt idx="47" formatCode="0.000">
                  <c:v>2.632499999999999</c:v>
                </c:pt>
                <c:pt idx="48" formatCode="0.000">
                  <c:v>2.6929870129870124</c:v>
                </c:pt>
                <c:pt idx="49" formatCode="0.000">
                  <c:v>2.6903571428571436</c:v>
                </c:pt>
                <c:pt idx="50" formatCode="0.000">
                  <c:v>2.629870129870131</c:v>
                </c:pt>
                <c:pt idx="51" formatCode="0.000">
                  <c:v>2.5167857142857164</c:v>
                </c:pt>
                <c:pt idx="52" formatCode="0.000">
                  <c:v>2.3563636363636391</c:v>
                </c:pt>
                <c:pt idx="53" formatCode="0.000">
                  <c:v>2.1538636363636403</c:v>
                </c:pt>
                <c:pt idx="54" formatCode="0.000">
                  <c:v>1.9145454545454605</c:v>
                </c:pt>
                <c:pt idx="55" formatCode="0.000">
                  <c:v>1.6436688311688379</c:v>
                </c:pt>
                <c:pt idx="56" formatCode="0.000">
                  <c:v>1.3464935064935144</c:v>
                </c:pt>
                <c:pt idx="57" formatCode="0.000">
                  <c:v>1.0282792207792295</c:v>
                </c:pt>
                <c:pt idx="58" formatCode="0.000">
                  <c:v>0.69428571428572394</c:v>
                </c:pt>
                <c:pt idx="59" formatCode="0.000">
                  <c:v>0.34977272727273528</c:v>
                </c:pt>
                <c:pt idx="60" formatCode="0.000">
                  <c:v>5.4501857572507688E-15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0EB-4650-959F-7AF2E00FB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3195007"/>
        <c:axId val="1"/>
      </c:scatterChart>
      <c:valAx>
        <c:axId val="1123195007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23195007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1" u="none" strike="noStrike" baseline="0">
                <a:solidFill>
                  <a:srgbClr val="000000"/>
                </a:solidFill>
                <a:latin typeface="Symbol"/>
                <a:ea typeface="Symbol"/>
                <a:cs typeface="Symbol"/>
              </a:defRPr>
            </a:pPr>
            <a:r>
              <a:rPr lang="cs-CZ" sz="1075" b="0" i="1" u="none" strike="noStrike" baseline="0">
                <a:solidFill>
                  <a:srgbClr val="000000"/>
                </a:solidFill>
                <a:latin typeface="Symbol"/>
              </a:rPr>
              <a:t>h</a:t>
            </a:r>
            <a:r>
              <a:rPr lang="cs-CZ" sz="1075" b="0" i="0" u="none" strike="noStrike" baseline="0">
                <a:solidFill>
                  <a:srgbClr val="000000"/>
                </a:solidFill>
                <a:latin typeface="Symbol"/>
              </a:rPr>
              <a:t> j</a:t>
            </a:r>
            <a:r>
              <a:rPr lang="cs-CZ" sz="10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</a:t>
            </a:r>
          </a:p>
        </c:rich>
      </c:tx>
      <c:layout>
        <c:manualLayout>
          <c:xMode val="edge"/>
          <c:yMode val="edge"/>
          <c:x val="0.47630778017997838"/>
          <c:y val="3.93271749079515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29082980674"/>
          <c:y val="0.21910854591573031"/>
          <c:w val="0.85024171620362665"/>
          <c:h val="0.6910346448111494"/>
        </c:manualLayout>
      </c:layout>
      <c:scatterChart>
        <c:scatterStyle val="smoothMarker"/>
        <c:varyColors val="0"/>
        <c:ser>
          <c:idx val="2"/>
          <c:order val="0"/>
          <c:tx>
            <c:v>fi c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vypocet!$N$6:$N$66</c:f>
              <c:numCache>
                <c:formatCode>0.00</c:formatCode>
                <c:ptCount val="6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6.3000000000000007</c:v>
                </c:pt>
                <c:pt idx="8">
                  <c:v>7.2000000000000011</c:v>
                </c:pt>
                <c:pt idx="9">
                  <c:v>8.1000000000000014</c:v>
                </c:pt>
                <c:pt idx="10">
                  <c:v>9.0000000000000018</c:v>
                </c:pt>
                <c:pt idx="11">
                  <c:v>9.9000000000000021</c:v>
                </c:pt>
                <c:pt idx="12">
                  <c:v>10.800000000000002</c:v>
                </c:pt>
                <c:pt idx="13">
                  <c:v>11.700000000000003</c:v>
                </c:pt>
                <c:pt idx="14">
                  <c:v>12.600000000000003</c:v>
                </c:pt>
                <c:pt idx="15">
                  <c:v>13.500000000000004</c:v>
                </c:pt>
                <c:pt idx="16">
                  <c:v>14.400000000000004</c:v>
                </c:pt>
                <c:pt idx="17">
                  <c:v>15.300000000000004</c:v>
                </c:pt>
                <c:pt idx="18">
                  <c:v>16.200000000000003</c:v>
                </c:pt>
                <c:pt idx="19">
                  <c:v>17.100000000000001</c:v>
                </c:pt>
                <c:pt idx="20">
                  <c:v>18</c:v>
                </c:pt>
                <c:pt idx="21">
                  <c:v>19.5</c:v>
                </c:pt>
                <c:pt idx="22">
                  <c:v>21</c:v>
                </c:pt>
                <c:pt idx="23">
                  <c:v>22.5</c:v>
                </c:pt>
                <c:pt idx="24">
                  <c:v>24</c:v>
                </c:pt>
                <c:pt idx="25">
                  <c:v>25.5</c:v>
                </c:pt>
                <c:pt idx="26">
                  <c:v>27</c:v>
                </c:pt>
                <c:pt idx="27">
                  <c:v>28.5</c:v>
                </c:pt>
                <c:pt idx="28">
                  <c:v>30</c:v>
                </c:pt>
                <c:pt idx="29">
                  <c:v>31.5</c:v>
                </c:pt>
                <c:pt idx="30">
                  <c:v>33</c:v>
                </c:pt>
                <c:pt idx="31">
                  <c:v>34.5</c:v>
                </c:pt>
                <c:pt idx="32">
                  <c:v>36</c:v>
                </c:pt>
                <c:pt idx="33">
                  <c:v>37.5</c:v>
                </c:pt>
                <c:pt idx="34">
                  <c:v>39</c:v>
                </c:pt>
                <c:pt idx="35">
                  <c:v>40.5</c:v>
                </c:pt>
                <c:pt idx="36">
                  <c:v>42</c:v>
                </c:pt>
                <c:pt idx="37">
                  <c:v>43.5</c:v>
                </c:pt>
                <c:pt idx="38">
                  <c:v>45</c:v>
                </c:pt>
                <c:pt idx="39">
                  <c:v>46.5</c:v>
                </c:pt>
                <c:pt idx="40">
                  <c:v>48</c:v>
                </c:pt>
                <c:pt idx="41">
                  <c:v>48.9</c:v>
                </c:pt>
                <c:pt idx="42">
                  <c:v>49.8</c:v>
                </c:pt>
                <c:pt idx="43">
                  <c:v>50.699999999999996</c:v>
                </c:pt>
                <c:pt idx="44">
                  <c:v>51.599999999999994</c:v>
                </c:pt>
                <c:pt idx="45">
                  <c:v>52.499999999999993</c:v>
                </c:pt>
                <c:pt idx="46">
                  <c:v>53.399999999999991</c:v>
                </c:pt>
                <c:pt idx="47">
                  <c:v>54.29999999999999</c:v>
                </c:pt>
                <c:pt idx="48">
                  <c:v>55.199999999999989</c:v>
                </c:pt>
                <c:pt idx="49">
                  <c:v>56.099999999999987</c:v>
                </c:pt>
                <c:pt idx="50">
                  <c:v>56.999999999999986</c:v>
                </c:pt>
                <c:pt idx="51">
                  <c:v>57.899999999999984</c:v>
                </c:pt>
                <c:pt idx="52">
                  <c:v>58.799999999999983</c:v>
                </c:pt>
                <c:pt idx="53">
                  <c:v>59.699999999999982</c:v>
                </c:pt>
                <c:pt idx="54">
                  <c:v>60.59999999999998</c:v>
                </c:pt>
                <c:pt idx="55">
                  <c:v>61.499999999999979</c:v>
                </c:pt>
                <c:pt idx="56">
                  <c:v>62.399999999999977</c:v>
                </c:pt>
                <c:pt idx="57">
                  <c:v>63.299999999999976</c:v>
                </c:pt>
                <c:pt idx="58">
                  <c:v>64.199999999999974</c:v>
                </c:pt>
                <c:pt idx="59">
                  <c:v>65.09999999999998</c:v>
                </c:pt>
                <c:pt idx="60">
                  <c:v>65.999999999999986</c:v>
                </c:pt>
              </c:numCache>
            </c:numRef>
          </c:xVal>
          <c:yVal>
            <c:numRef>
              <c:f>vypocet!$Q$6:$Q$66</c:f>
              <c:numCache>
                <c:formatCode>0.000</c:formatCode>
                <c:ptCount val="61"/>
                <c:pt idx="0">
                  <c:v>0</c:v>
                </c:pt>
                <c:pt idx="1">
                  <c:v>-0.34977272727272724</c:v>
                </c:pt>
                <c:pt idx="2">
                  <c:v>-0.69428571428571428</c:v>
                </c:pt>
                <c:pt idx="3">
                  <c:v>-1.0282792207792206</c:v>
                </c:pt>
                <c:pt idx="4">
                  <c:v>-1.3464935064935066</c:v>
                </c:pt>
                <c:pt idx="5">
                  <c:v>-1.643668831168831</c:v>
                </c:pt>
                <c:pt idx="6">
                  <c:v>-1.9145454545454546</c:v>
                </c:pt>
                <c:pt idx="7">
                  <c:v>-2.1538636363636363</c:v>
                </c:pt>
                <c:pt idx="8">
                  <c:v>-2.356363636363636</c:v>
                </c:pt>
                <c:pt idx="9">
                  <c:v>-2.5167857142857146</c:v>
                </c:pt>
                <c:pt idx="10">
                  <c:v>-2.6298701298701297</c:v>
                </c:pt>
                <c:pt idx="11">
                  <c:v>-2.6903571428571427</c:v>
                </c:pt>
                <c:pt idx="12">
                  <c:v>-2.6929870129870128</c:v>
                </c:pt>
                <c:pt idx="13">
                  <c:v>-2.6324999999999994</c:v>
                </c:pt>
                <c:pt idx="14">
                  <c:v>-2.5036363636363625</c:v>
                </c:pt>
                <c:pt idx="15">
                  <c:v>-2.3011363636363624</c:v>
                </c:pt>
                <c:pt idx="16">
                  <c:v>-2.0197402597402578</c:v>
                </c:pt>
                <c:pt idx="17">
                  <c:v>-1.6541883116883098</c:v>
                </c:pt>
                <c:pt idx="18">
                  <c:v>-1.1992207792207779</c:v>
                </c:pt>
                <c:pt idx="19">
                  <c:v>-0.6495779220779212</c:v>
                </c:pt>
                <c:pt idx="20">
                  <c:v>0</c:v>
                </c:pt>
                <c:pt idx="21">
                  <c:v>1.3047077922077921</c:v>
                </c:pt>
                <c:pt idx="22">
                  <c:v>2.8402597402597407</c:v>
                </c:pt>
                <c:pt idx="23">
                  <c:v>4.5452922077922073</c:v>
                </c:pt>
                <c:pt idx="24">
                  <c:v>6.3584415584415588</c:v>
                </c:pt>
                <c:pt idx="25">
                  <c:v>8.2183441558441555</c:v>
                </c:pt>
                <c:pt idx="26">
                  <c:v>10.063636363636363</c:v>
                </c:pt>
                <c:pt idx="27">
                  <c:v>11.832954545454545</c:v>
                </c:pt>
                <c:pt idx="28">
                  <c:v>13.464935064935066</c:v>
                </c:pt>
                <c:pt idx="29">
                  <c:v>14.898214285714289</c:v>
                </c:pt>
                <c:pt idx="30">
                  <c:v>16.071428571428573</c:v>
                </c:pt>
                <c:pt idx="31">
                  <c:v>16.923214285714288</c:v>
                </c:pt>
                <c:pt idx="32">
                  <c:v>17.392207792207792</c:v>
                </c:pt>
                <c:pt idx="33">
                  <c:v>17.417045454545455</c:v>
                </c:pt>
                <c:pt idx="34">
                  <c:v>16.936363636363637</c:v>
                </c:pt>
                <c:pt idx="35">
                  <c:v>15.888798701298702</c:v>
                </c:pt>
                <c:pt idx="36">
                  <c:v>14.212987012987012</c:v>
                </c:pt>
                <c:pt idx="37">
                  <c:v>11.847564935064934</c:v>
                </c:pt>
                <c:pt idx="38">
                  <c:v>8.73116883116883</c:v>
                </c:pt>
                <c:pt idx="39">
                  <c:v>4.8024350649350689</c:v>
                </c:pt>
                <c:pt idx="40">
                  <c:v>0</c:v>
                </c:pt>
                <c:pt idx="41">
                  <c:v>-2.9231006493506451</c:v>
                </c:pt>
                <c:pt idx="42">
                  <c:v>-5.3964935064934991</c:v>
                </c:pt>
                <c:pt idx="43">
                  <c:v>-7.4438474025973935</c:v>
                </c:pt>
                <c:pt idx="44">
                  <c:v>-9.0888311688311596</c:v>
                </c:pt>
                <c:pt idx="45">
                  <c:v>-10.35511363636363</c:v>
                </c:pt>
                <c:pt idx="46">
                  <c:v>-11.266363636363629</c:v>
                </c:pt>
                <c:pt idx="47">
                  <c:v>-11.846249999999996</c:v>
                </c:pt>
                <c:pt idx="48">
                  <c:v>-12.118441558441557</c:v>
                </c:pt>
                <c:pt idx="49">
                  <c:v>-12.106607142857147</c:v>
                </c:pt>
                <c:pt idx="50">
                  <c:v>-11.834415584415591</c:v>
                </c:pt>
                <c:pt idx="51">
                  <c:v>-11.325535714285724</c:v>
                </c:pt>
                <c:pt idx="52">
                  <c:v>-10.603636363636378</c:v>
                </c:pt>
                <c:pt idx="53">
                  <c:v>-9.6923863636363823</c:v>
                </c:pt>
                <c:pt idx="54">
                  <c:v>-8.6154545454545737</c:v>
                </c:pt>
                <c:pt idx="55">
                  <c:v>-7.3965097402597717</c:v>
                </c:pt>
                <c:pt idx="56">
                  <c:v>-6.0592207792208148</c:v>
                </c:pt>
                <c:pt idx="57">
                  <c:v>-4.6272564935065335</c:v>
                </c:pt>
                <c:pt idx="58">
                  <c:v>-3.1242857142857581</c:v>
                </c:pt>
                <c:pt idx="59">
                  <c:v>-1.5739772727273091</c:v>
                </c:pt>
                <c:pt idx="60">
                  <c:v>-2.4525835907628461E-14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E0-41CD-B944-616DF8709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9770735"/>
        <c:axId val="1"/>
      </c:scatterChart>
      <c:valAx>
        <c:axId val="1129770735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29770735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1" u="none" strike="noStrike" baseline="0">
                <a:solidFill>
                  <a:srgbClr val="000000"/>
                </a:solidFill>
                <a:latin typeface="Symbol"/>
                <a:ea typeface="Symbol"/>
                <a:cs typeface="Symbol"/>
              </a:defRPr>
            </a:pPr>
            <a:r>
              <a:rPr lang="cs-CZ" sz="1175" b="0" i="1" u="none" strike="noStrike" baseline="0">
                <a:solidFill>
                  <a:srgbClr val="000000"/>
                </a:solidFill>
                <a:latin typeface="Symbol"/>
              </a:rPr>
              <a:t>h </a:t>
            </a:r>
            <a:r>
              <a:rPr lang="cs-CZ" sz="11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M10</a:t>
            </a:r>
          </a:p>
        </c:rich>
      </c:tx>
      <c:layout>
        <c:manualLayout>
          <c:xMode val="edge"/>
          <c:yMode val="edge"/>
          <c:x val="0.46445396664608746"/>
          <c:y val="5.42653553068368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4514635685021"/>
          <c:y val="0.24031800207313456"/>
          <c:w val="0.84485361914276702"/>
          <c:h val="0.66927271545098743"/>
        </c:manualLayout>
      </c:layout>
      <c:scatterChart>
        <c:scatterStyle val="smoothMarker"/>
        <c:varyColors val="0"/>
        <c:ser>
          <c:idx val="2"/>
          <c:order val="0"/>
          <c:tx>
            <c:v>Mba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vypocet!$N$6:$N$26</c:f>
              <c:numCache>
                <c:formatCode>0.00</c:formatCode>
                <c:ptCount val="2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6.3000000000000007</c:v>
                </c:pt>
                <c:pt idx="8">
                  <c:v>7.2000000000000011</c:v>
                </c:pt>
                <c:pt idx="9">
                  <c:v>8.1000000000000014</c:v>
                </c:pt>
                <c:pt idx="10">
                  <c:v>9.0000000000000018</c:v>
                </c:pt>
                <c:pt idx="11">
                  <c:v>9.9000000000000021</c:v>
                </c:pt>
                <c:pt idx="12">
                  <c:v>10.800000000000002</c:v>
                </c:pt>
                <c:pt idx="13">
                  <c:v>11.700000000000003</c:v>
                </c:pt>
                <c:pt idx="14">
                  <c:v>12.600000000000003</c:v>
                </c:pt>
                <c:pt idx="15">
                  <c:v>13.500000000000004</c:v>
                </c:pt>
                <c:pt idx="16">
                  <c:v>14.400000000000004</c:v>
                </c:pt>
                <c:pt idx="17">
                  <c:v>15.300000000000004</c:v>
                </c:pt>
                <c:pt idx="18">
                  <c:v>16.200000000000003</c:v>
                </c:pt>
                <c:pt idx="19">
                  <c:v>17.100000000000001</c:v>
                </c:pt>
                <c:pt idx="20">
                  <c:v>18</c:v>
                </c:pt>
              </c:numCache>
            </c:numRef>
          </c:xVal>
          <c:yVal>
            <c:numRef>
              <c:f>vypocet!$S$6:$S$26</c:f>
              <c:numCache>
                <c:formatCode>0.000</c:formatCode>
                <c:ptCount val="21"/>
                <c:pt idx="0">
                  <c:v>0</c:v>
                </c:pt>
                <c:pt idx="1">
                  <c:v>-0.18654545454545463</c:v>
                </c:pt>
                <c:pt idx="2">
                  <c:v>-0.37028571428571444</c:v>
                </c:pt>
                <c:pt idx="3">
                  <c:v>-0.54841558441558469</c:v>
                </c:pt>
                <c:pt idx="4">
                  <c:v>-0.71812987012987017</c:v>
                </c:pt>
                <c:pt idx="5">
                  <c:v>-0.87662337662337664</c:v>
                </c:pt>
                <c:pt idx="6">
                  <c:v>-1.0210909090909088</c:v>
                </c:pt>
                <c:pt idx="7">
                  <c:v>-1.1487272727272733</c:v>
                </c:pt>
                <c:pt idx="8">
                  <c:v>-1.2567272727272734</c:v>
                </c:pt>
                <c:pt idx="9">
                  <c:v>-1.3422857142857136</c:v>
                </c:pt>
                <c:pt idx="10">
                  <c:v>-1.4025974025974026</c:v>
                </c:pt>
                <c:pt idx="11">
                  <c:v>-1.4348571428571426</c:v>
                </c:pt>
                <c:pt idx="12">
                  <c:v>-1.4362597402597408</c:v>
                </c:pt>
                <c:pt idx="13">
                  <c:v>-1.4039999999999995</c:v>
                </c:pt>
                <c:pt idx="14">
                  <c:v>-1.3352727272727269</c:v>
                </c:pt>
                <c:pt idx="15">
                  <c:v>-1.2272727272727273</c:v>
                </c:pt>
                <c:pt idx="16">
                  <c:v>-1.0771948051948053</c:v>
                </c:pt>
                <c:pt idx="17">
                  <c:v>-0.88223376623376493</c:v>
                </c:pt>
                <c:pt idx="18">
                  <c:v>-0.63958441558441448</c:v>
                </c:pt>
                <c:pt idx="19">
                  <c:v>-0.34644155844155794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F08-418C-ACF4-1413D765C115}"/>
            </c:ext>
          </c:extLst>
        </c:ser>
        <c:ser>
          <c:idx val="0"/>
          <c:order val="1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vypocet!$N$26:$N$66</c:f>
              <c:numCache>
                <c:formatCode>0.00</c:formatCode>
                <c:ptCount val="41"/>
                <c:pt idx="0">
                  <c:v>18</c:v>
                </c:pt>
                <c:pt idx="1">
                  <c:v>19.5</c:v>
                </c:pt>
                <c:pt idx="2">
                  <c:v>21</c:v>
                </c:pt>
                <c:pt idx="3">
                  <c:v>22.5</c:v>
                </c:pt>
                <c:pt idx="4">
                  <c:v>24</c:v>
                </c:pt>
                <c:pt idx="5">
                  <c:v>25.5</c:v>
                </c:pt>
                <c:pt idx="6">
                  <c:v>27</c:v>
                </c:pt>
                <c:pt idx="7">
                  <c:v>28.5</c:v>
                </c:pt>
                <c:pt idx="8">
                  <c:v>30</c:v>
                </c:pt>
                <c:pt idx="9">
                  <c:v>31.5</c:v>
                </c:pt>
                <c:pt idx="10">
                  <c:v>33</c:v>
                </c:pt>
                <c:pt idx="11">
                  <c:v>34.5</c:v>
                </c:pt>
                <c:pt idx="12">
                  <c:v>36</c:v>
                </c:pt>
                <c:pt idx="13">
                  <c:v>37.5</c:v>
                </c:pt>
                <c:pt idx="14">
                  <c:v>39</c:v>
                </c:pt>
                <c:pt idx="15">
                  <c:v>40.5</c:v>
                </c:pt>
                <c:pt idx="16">
                  <c:v>42</c:v>
                </c:pt>
                <c:pt idx="17">
                  <c:v>43.5</c:v>
                </c:pt>
                <c:pt idx="18">
                  <c:v>45</c:v>
                </c:pt>
                <c:pt idx="19">
                  <c:v>46.5</c:v>
                </c:pt>
                <c:pt idx="20">
                  <c:v>48</c:v>
                </c:pt>
                <c:pt idx="21">
                  <c:v>48.9</c:v>
                </c:pt>
                <c:pt idx="22">
                  <c:v>49.8</c:v>
                </c:pt>
                <c:pt idx="23">
                  <c:v>50.699999999999996</c:v>
                </c:pt>
                <c:pt idx="24">
                  <c:v>51.599999999999994</c:v>
                </c:pt>
                <c:pt idx="25">
                  <c:v>52.499999999999993</c:v>
                </c:pt>
                <c:pt idx="26">
                  <c:v>53.399999999999991</c:v>
                </c:pt>
                <c:pt idx="27">
                  <c:v>54.29999999999999</c:v>
                </c:pt>
                <c:pt idx="28">
                  <c:v>55.199999999999989</c:v>
                </c:pt>
                <c:pt idx="29">
                  <c:v>56.099999999999987</c:v>
                </c:pt>
                <c:pt idx="30">
                  <c:v>56.999999999999986</c:v>
                </c:pt>
                <c:pt idx="31">
                  <c:v>57.899999999999984</c:v>
                </c:pt>
                <c:pt idx="32">
                  <c:v>58.799999999999983</c:v>
                </c:pt>
                <c:pt idx="33">
                  <c:v>59.699999999999982</c:v>
                </c:pt>
                <c:pt idx="34">
                  <c:v>60.59999999999998</c:v>
                </c:pt>
                <c:pt idx="35">
                  <c:v>61.499999999999979</c:v>
                </c:pt>
                <c:pt idx="36">
                  <c:v>62.399999999999977</c:v>
                </c:pt>
                <c:pt idx="37">
                  <c:v>63.299999999999976</c:v>
                </c:pt>
                <c:pt idx="38">
                  <c:v>64.199999999999974</c:v>
                </c:pt>
                <c:pt idx="39">
                  <c:v>65.09999999999998</c:v>
                </c:pt>
                <c:pt idx="40">
                  <c:v>65.999999999999986</c:v>
                </c:pt>
              </c:numCache>
            </c:numRef>
          </c:xVal>
          <c:yVal>
            <c:numRef>
              <c:f>vypocet!$S$26:$S$66</c:f>
              <c:numCache>
                <c:formatCode>0.000</c:formatCode>
                <c:ptCount val="41"/>
                <c:pt idx="0">
                  <c:v>0</c:v>
                </c:pt>
                <c:pt idx="1">
                  <c:v>-0.80040584415584415</c:v>
                </c:pt>
                <c:pt idx="2">
                  <c:v>-1.4551948051948056</c:v>
                </c:pt>
                <c:pt idx="3">
                  <c:v>-1.9745941558441555</c:v>
                </c:pt>
                <c:pt idx="4">
                  <c:v>-2.3688311688311692</c:v>
                </c:pt>
                <c:pt idx="5">
                  <c:v>-2.648133116883117</c:v>
                </c:pt>
                <c:pt idx="6">
                  <c:v>-2.8227272727272723</c:v>
                </c:pt>
                <c:pt idx="7">
                  <c:v>-2.9028409090909091</c:v>
                </c:pt>
                <c:pt idx="8">
                  <c:v>-2.8987012987012983</c:v>
                </c:pt>
                <c:pt idx="9">
                  <c:v>-2.820535714285715</c:v>
                </c:pt>
                <c:pt idx="10">
                  <c:v>-2.6785714285714288</c:v>
                </c:pt>
                <c:pt idx="11">
                  <c:v>-2.4830357142857138</c:v>
                </c:pt>
                <c:pt idx="12">
                  <c:v>-2.244155844155844</c:v>
                </c:pt>
                <c:pt idx="13">
                  <c:v>-1.9721590909090907</c:v>
                </c:pt>
                <c:pt idx="14">
                  <c:v>-1.6772727272727272</c:v>
                </c:pt>
                <c:pt idx="15">
                  <c:v>-1.3697240259740258</c:v>
                </c:pt>
                <c:pt idx="16">
                  <c:v>-1.0597402597402594</c:v>
                </c:pt>
                <c:pt idx="17">
                  <c:v>-0.75754870129870133</c:v>
                </c:pt>
                <c:pt idx="18">
                  <c:v>-0.47337662337662323</c:v>
                </c:pt>
                <c:pt idx="19">
                  <c:v>-0.2174512987012989</c:v>
                </c:pt>
                <c:pt idx="20">
                  <c:v>0</c:v>
                </c:pt>
                <c:pt idx="21">
                  <c:v>0.10826298701298682</c:v>
                </c:pt>
                <c:pt idx="22">
                  <c:v>0.19987012987012956</c:v>
                </c:pt>
                <c:pt idx="23">
                  <c:v>0.27569805194805158</c:v>
                </c:pt>
                <c:pt idx="24">
                  <c:v>0.33662337662337621</c:v>
                </c:pt>
                <c:pt idx="25">
                  <c:v>0.38352272727272696</c:v>
                </c:pt>
                <c:pt idx="26">
                  <c:v>0.41727272727272691</c:v>
                </c:pt>
                <c:pt idx="27">
                  <c:v>0.43874999999999981</c:v>
                </c:pt>
                <c:pt idx="28">
                  <c:v>0.44883116883116869</c:v>
                </c:pt>
                <c:pt idx="29">
                  <c:v>0.44839285714285726</c:v>
                </c:pt>
                <c:pt idx="30">
                  <c:v>0.43831168831168849</c:v>
                </c:pt>
                <c:pt idx="31">
                  <c:v>0.41946428571428607</c:v>
                </c:pt>
                <c:pt idx="32">
                  <c:v>0.39272727272727315</c:v>
                </c:pt>
                <c:pt idx="33">
                  <c:v>0.35897727272727337</c:v>
                </c:pt>
                <c:pt idx="34">
                  <c:v>0.31909090909091009</c:v>
                </c:pt>
                <c:pt idx="35">
                  <c:v>0.2739448051948063</c:v>
                </c:pt>
                <c:pt idx="36">
                  <c:v>0.22441558441558573</c:v>
                </c:pt>
                <c:pt idx="37">
                  <c:v>0.17137987012987158</c:v>
                </c:pt>
                <c:pt idx="38">
                  <c:v>0.11571428571428732</c:v>
                </c:pt>
                <c:pt idx="39">
                  <c:v>5.8295454545455878E-2</c:v>
                </c:pt>
                <c:pt idx="40">
                  <c:v>9.0836429287512806E-16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F08-418C-ACF4-1413D765C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3201551"/>
        <c:axId val="1"/>
      </c:scatterChart>
      <c:valAx>
        <c:axId val="1123201551"/>
        <c:scaling>
          <c:orientation val="minMax"/>
        </c:scaling>
        <c:delete val="0"/>
        <c:axPos val="t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crossBetween val="midCat"/>
      </c:valAx>
      <c:valAx>
        <c:axId val="1"/>
        <c:scaling>
          <c:orientation val="maxMin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23201551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1" u="none" strike="noStrike" baseline="0">
                <a:solidFill>
                  <a:srgbClr val="000000"/>
                </a:solidFill>
                <a:latin typeface="Symbol"/>
                <a:ea typeface="Symbol"/>
                <a:cs typeface="Symbol"/>
              </a:defRPr>
            </a:pPr>
            <a:r>
              <a:rPr lang="cs-CZ" sz="1075" b="0" i="1" u="none" strike="noStrike" baseline="0">
                <a:solidFill>
                  <a:srgbClr val="000000"/>
                </a:solidFill>
                <a:latin typeface="Symbol"/>
              </a:rPr>
              <a:t>h</a:t>
            </a:r>
            <a:r>
              <a:rPr lang="cs-CZ" sz="10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M15</a:t>
            </a:r>
          </a:p>
        </c:rich>
      </c:tx>
      <c:layout>
        <c:manualLayout>
          <c:xMode val="edge"/>
          <c:yMode val="edge"/>
          <c:x val="0.46775657610539839"/>
          <c:y val="3.89984079367853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798290483024548E-2"/>
          <c:y val="0.21727684421923277"/>
          <c:w val="0.87207030625627147"/>
          <c:h val="0.69361454116139687"/>
        </c:manualLayout>
      </c:layout>
      <c:scatterChart>
        <c:scatterStyle val="smoothMarker"/>
        <c:varyColors val="0"/>
        <c:ser>
          <c:idx val="2"/>
          <c:order val="0"/>
          <c:tx>
            <c:v>Mba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vypocet!$N$6:$N$36</c:f>
              <c:numCache>
                <c:formatCode>0.00</c:formatCode>
                <c:ptCount val="3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6.3000000000000007</c:v>
                </c:pt>
                <c:pt idx="8">
                  <c:v>7.2000000000000011</c:v>
                </c:pt>
                <c:pt idx="9">
                  <c:v>8.1000000000000014</c:v>
                </c:pt>
                <c:pt idx="10">
                  <c:v>9.0000000000000018</c:v>
                </c:pt>
                <c:pt idx="11">
                  <c:v>9.9000000000000021</c:v>
                </c:pt>
                <c:pt idx="12">
                  <c:v>10.800000000000002</c:v>
                </c:pt>
                <c:pt idx="13">
                  <c:v>11.700000000000003</c:v>
                </c:pt>
                <c:pt idx="14">
                  <c:v>12.600000000000003</c:v>
                </c:pt>
                <c:pt idx="15">
                  <c:v>13.500000000000004</c:v>
                </c:pt>
                <c:pt idx="16">
                  <c:v>14.400000000000004</c:v>
                </c:pt>
                <c:pt idx="17">
                  <c:v>15.300000000000004</c:v>
                </c:pt>
                <c:pt idx="18">
                  <c:v>16.200000000000003</c:v>
                </c:pt>
                <c:pt idx="19">
                  <c:v>17.100000000000001</c:v>
                </c:pt>
                <c:pt idx="20">
                  <c:v>18</c:v>
                </c:pt>
                <c:pt idx="21">
                  <c:v>19.5</c:v>
                </c:pt>
                <c:pt idx="22">
                  <c:v>21</c:v>
                </c:pt>
                <c:pt idx="23">
                  <c:v>22.5</c:v>
                </c:pt>
                <c:pt idx="24">
                  <c:v>24</c:v>
                </c:pt>
                <c:pt idx="25">
                  <c:v>25.5</c:v>
                </c:pt>
                <c:pt idx="26">
                  <c:v>27</c:v>
                </c:pt>
                <c:pt idx="27">
                  <c:v>28.5</c:v>
                </c:pt>
                <c:pt idx="28">
                  <c:v>30</c:v>
                </c:pt>
                <c:pt idx="29">
                  <c:v>31.5</c:v>
                </c:pt>
                <c:pt idx="30">
                  <c:v>33</c:v>
                </c:pt>
              </c:numCache>
            </c:numRef>
          </c:xVal>
          <c:yVal>
            <c:numRef>
              <c:f>vypocet!$W$6:$W$36</c:f>
              <c:numCache>
                <c:formatCode>0.00</c:formatCode>
                <c:ptCount val="31"/>
                <c:pt idx="0">
                  <c:v>0</c:v>
                </c:pt>
                <c:pt idx="1">
                  <c:v>-6.4125000000000001E-2</c:v>
                </c:pt>
                <c:pt idx="2">
                  <c:v>-0.12728571428571431</c:v>
                </c:pt>
                <c:pt idx="3">
                  <c:v>-0.18851785714285707</c:v>
                </c:pt>
                <c:pt idx="4">
                  <c:v>-0.24685714285714286</c:v>
                </c:pt>
                <c:pt idx="5">
                  <c:v>-0.3013392857142857</c:v>
                </c:pt>
                <c:pt idx="6">
                  <c:v>-0.35100000000000009</c:v>
                </c:pt>
                <c:pt idx="7">
                  <c:v>-0.39487499999999998</c:v>
                </c:pt>
                <c:pt idx="8">
                  <c:v>-0.43200000000000005</c:v>
                </c:pt>
                <c:pt idx="9">
                  <c:v>-0.46141071428571434</c:v>
                </c:pt>
                <c:pt idx="10">
                  <c:v>-0.4821428571428571</c:v>
                </c:pt>
                <c:pt idx="11">
                  <c:v>-0.4932321428571429</c:v>
                </c:pt>
                <c:pt idx="12">
                  <c:v>-0.49371428571428577</c:v>
                </c:pt>
                <c:pt idx="13">
                  <c:v>-0.48262499999999997</c:v>
                </c:pt>
                <c:pt idx="14">
                  <c:v>-0.45899999999999985</c:v>
                </c:pt>
                <c:pt idx="15">
                  <c:v>-0.42187499999999978</c:v>
                </c:pt>
                <c:pt idx="16">
                  <c:v>-0.370285714285714</c:v>
                </c:pt>
                <c:pt idx="17">
                  <c:v>-0.30326785714285681</c:v>
                </c:pt>
                <c:pt idx="18">
                  <c:v>-0.21985714285714261</c:v>
                </c:pt>
                <c:pt idx="19">
                  <c:v>-0.11908928571428556</c:v>
                </c:pt>
                <c:pt idx="20">
                  <c:v>0</c:v>
                </c:pt>
                <c:pt idx="21">
                  <c:v>0.2410714285714286</c:v>
                </c:pt>
                <c:pt idx="22">
                  <c:v>0.5357142857142857</c:v>
                </c:pt>
                <c:pt idx="23">
                  <c:v>0.8839285714285714</c:v>
                </c:pt>
                <c:pt idx="24">
                  <c:v>1.285714285714286</c:v>
                </c:pt>
                <c:pt idx="25">
                  <c:v>1.7410714285714284</c:v>
                </c:pt>
                <c:pt idx="26">
                  <c:v>2.25</c:v>
                </c:pt>
                <c:pt idx="27">
                  <c:v>2.8125</c:v>
                </c:pt>
                <c:pt idx="28">
                  <c:v>3.4285714285714284</c:v>
                </c:pt>
                <c:pt idx="29">
                  <c:v>4.0982142857142856</c:v>
                </c:pt>
                <c:pt idx="30">
                  <c:v>4.8214285714285712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F8E-45C6-8213-CB97433FAB01}"/>
            </c:ext>
          </c:extLst>
        </c:ser>
        <c:ser>
          <c:idx val="0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vypocet!$N$36:$N$66</c:f>
              <c:numCache>
                <c:formatCode>0.00</c:formatCode>
                <c:ptCount val="31"/>
                <c:pt idx="0">
                  <c:v>33</c:v>
                </c:pt>
                <c:pt idx="1">
                  <c:v>34.5</c:v>
                </c:pt>
                <c:pt idx="2">
                  <c:v>36</c:v>
                </c:pt>
                <c:pt idx="3">
                  <c:v>37.5</c:v>
                </c:pt>
                <c:pt idx="4">
                  <c:v>39</c:v>
                </c:pt>
                <c:pt idx="5">
                  <c:v>40.5</c:v>
                </c:pt>
                <c:pt idx="6">
                  <c:v>42</c:v>
                </c:pt>
                <c:pt idx="7">
                  <c:v>43.5</c:v>
                </c:pt>
                <c:pt idx="8">
                  <c:v>45</c:v>
                </c:pt>
                <c:pt idx="9">
                  <c:v>46.5</c:v>
                </c:pt>
                <c:pt idx="10">
                  <c:v>48</c:v>
                </c:pt>
                <c:pt idx="11">
                  <c:v>48.9</c:v>
                </c:pt>
                <c:pt idx="12">
                  <c:v>49.8</c:v>
                </c:pt>
                <c:pt idx="13">
                  <c:v>50.699999999999996</c:v>
                </c:pt>
                <c:pt idx="14">
                  <c:v>51.599999999999994</c:v>
                </c:pt>
                <c:pt idx="15">
                  <c:v>52.499999999999993</c:v>
                </c:pt>
                <c:pt idx="16">
                  <c:v>53.399999999999991</c:v>
                </c:pt>
                <c:pt idx="17">
                  <c:v>54.29999999999999</c:v>
                </c:pt>
                <c:pt idx="18">
                  <c:v>55.199999999999989</c:v>
                </c:pt>
                <c:pt idx="19">
                  <c:v>56.099999999999987</c:v>
                </c:pt>
                <c:pt idx="20">
                  <c:v>56.999999999999986</c:v>
                </c:pt>
                <c:pt idx="21">
                  <c:v>57.899999999999984</c:v>
                </c:pt>
                <c:pt idx="22">
                  <c:v>58.799999999999983</c:v>
                </c:pt>
                <c:pt idx="23">
                  <c:v>59.699999999999982</c:v>
                </c:pt>
                <c:pt idx="24">
                  <c:v>60.59999999999998</c:v>
                </c:pt>
                <c:pt idx="25">
                  <c:v>61.499999999999979</c:v>
                </c:pt>
                <c:pt idx="26">
                  <c:v>62.399999999999977</c:v>
                </c:pt>
                <c:pt idx="27">
                  <c:v>63.299999999999976</c:v>
                </c:pt>
                <c:pt idx="28">
                  <c:v>64.199999999999974</c:v>
                </c:pt>
                <c:pt idx="29">
                  <c:v>65.09999999999998</c:v>
                </c:pt>
                <c:pt idx="30">
                  <c:v>65.999999999999986</c:v>
                </c:pt>
              </c:numCache>
            </c:numRef>
          </c:xVal>
          <c:yVal>
            <c:numRef>
              <c:f>vypocet!$W$36:$W$66</c:f>
              <c:numCache>
                <c:formatCode>0.00</c:formatCode>
                <c:ptCount val="31"/>
                <c:pt idx="0">
                  <c:v>4.8214285714285712</c:v>
                </c:pt>
                <c:pt idx="1">
                  <c:v>4.0982142857142856</c:v>
                </c:pt>
                <c:pt idx="2">
                  <c:v>3.4285714285714279</c:v>
                </c:pt>
                <c:pt idx="3">
                  <c:v>2.8124999999999996</c:v>
                </c:pt>
                <c:pt idx="4">
                  <c:v>2.25</c:v>
                </c:pt>
                <c:pt idx="5">
                  <c:v>1.7410714285714284</c:v>
                </c:pt>
                <c:pt idx="6">
                  <c:v>1.2857142857142856</c:v>
                </c:pt>
                <c:pt idx="7">
                  <c:v>0.88392857142857129</c:v>
                </c:pt>
                <c:pt idx="8">
                  <c:v>0.53571428571428559</c:v>
                </c:pt>
                <c:pt idx="9">
                  <c:v>0.24107142857142871</c:v>
                </c:pt>
                <c:pt idx="10">
                  <c:v>0</c:v>
                </c:pt>
                <c:pt idx="11">
                  <c:v>-0.11908928571428554</c:v>
                </c:pt>
                <c:pt idx="12">
                  <c:v>-0.21985714285714258</c:v>
                </c:pt>
                <c:pt idx="13">
                  <c:v>-0.30326785714285676</c:v>
                </c:pt>
                <c:pt idx="14">
                  <c:v>-0.37028571428571389</c:v>
                </c:pt>
                <c:pt idx="15">
                  <c:v>-0.42187499999999967</c:v>
                </c:pt>
                <c:pt idx="16">
                  <c:v>-0.45899999999999963</c:v>
                </c:pt>
                <c:pt idx="17">
                  <c:v>-0.4826249999999998</c:v>
                </c:pt>
                <c:pt idx="18">
                  <c:v>-0.49371428571428566</c:v>
                </c:pt>
                <c:pt idx="19">
                  <c:v>-0.49323214285714301</c:v>
                </c:pt>
                <c:pt idx="20">
                  <c:v>-0.48214285714285743</c:v>
                </c:pt>
                <c:pt idx="21">
                  <c:v>-0.46141071428571467</c:v>
                </c:pt>
                <c:pt idx="22">
                  <c:v>-0.43200000000000049</c:v>
                </c:pt>
                <c:pt idx="23">
                  <c:v>-0.39487500000000075</c:v>
                </c:pt>
                <c:pt idx="24">
                  <c:v>-0.35100000000000114</c:v>
                </c:pt>
                <c:pt idx="25">
                  <c:v>-0.30133928571428703</c:v>
                </c:pt>
                <c:pt idx="26">
                  <c:v>-0.24685714285714433</c:v>
                </c:pt>
                <c:pt idx="27">
                  <c:v>-0.18851785714285874</c:v>
                </c:pt>
                <c:pt idx="28">
                  <c:v>-0.12728571428571606</c:v>
                </c:pt>
                <c:pt idx="29">
                  <c:v>-6.4125000000001486E-2</c:v>
                </c:pt>
                <c:pt idx="30">
                  <c:v>-9.9920072216264089E-16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F8E-45C6-8213-CB97433FA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4814703"/>
        <c:axId val="1"/>
      </c:scatterChart>
      <c:valAx>
        <c:axId val="1934814703"/>
        <c:scaling>
          <c:orientation val="minMax"/>
        </c:scaling>
        <c:delete val="0"/>
        <c:axPos val="t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crossBetween val="midCat"/>
      </c:valAx>
      <c:valAx>
        <c:axId val="1"/>
        <c:scaling>
          <c:orientation val="maxMin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34814703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1" u="none" strike="noStrike" baseline="0">
                <a:solidFill>
                  <a:srgbClr val="000000"/>
                </a:solidFill>
                <a:latin typeface="Symbol"/>
                <a:ea typeface="Symbol"/>
                <a:cs typeface="Symbol"/>
              </a:defRPr>
            </a:pPr>
            <a:r>
              <a:rPr lang="cs-CZ" sz="1075" b="0" i="1" u="none" strike="noStrike" baseline="0">
                <a:solidFill>
                  <a:srgbClr val="000000"/>
                </a:solidFill>
                <a:latin typeface="Symbol"/>
              </a:rPr>
              <a:t>h</a:t>
            </a:r>
            <a:r>
              <a:rPr lang="cs-CZ" sz="10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M5</a:t>
            </a:r>
          </a:p>
        </c:rich>
      </c:tx>
      <c:layout>
        <c:manualLayout>
          <c:xMode val="edge"/>
          <c:yMode val="edge"/>
          <c:x val="0.47369915838320831"/>
          <c:y val="3.88901048420378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709376860560194E-2"/>
          <c:y val="0.21667344126278229"/>
          <c:w val="0.87220797416590745"/>
          <c:h val="0.69446615789353294"/>
        </c:manualLayout>
      </c:layout>
      <c:scatterChart>
        <c:scatterStyle val="smoothMarker"/>
        <c:varyColors val="0"/>
        <c:ser>
          <c:idx val="2"/>
          <c:order val="0"/>
          <c:tx>
            <c:v>Mba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vypocet!$N$6:$N$16</c:f>
              <c:numCache>
                <c:formatCode>0.00</c:formatCode>
                <c:ptCount val="1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6.3000000000000007</c:v>
                </c:pt>
                <c:pt idx="8">
                  <c:v>7.2000000000000011</c:v>
                </c:pt>
                <c:pt idx="9">
                  <c:v>8.1000000000000014</c:v>
                </c:pt>
                <c:pt idx="10">
                  <c:v>9.0000000000000018</c:v>
                </c:pt>
              </c:numCache>
            </c:numRef>
          </c:xVal>
          <c:yVal>
            <c:numRef>
              <c:f>vypocet!$Y$6:$Y$16</c:f>
              <c:numCache>
                <c:formatCode>0.00</c:formatCode>
                <c:ptCount val="11"/>
                <c:pt idx="0">
                  <c:v>0</c:v>
                </c:pt>
                <c:pt idx="1">
                  <c:v>0.35672727272727267</c:v>
                </c:pt>
                <c:pt idx="2">
                  <c:v>0.71485714285714286</c:v>
                </c:pt>
                <c:pt idx="3">
                  <c:v>1.0757922077922077</c:v>
                </c:pt>
                <c:pt idx="4">
                  <c:v>1.440935064935065</c:v>
                </c:pt>
                <c:pt idx="5">
                  <c:v>1.8116883116883118</c:v>
                </c:pt>
                <c:pt idx="6">
                  <c:v>2.189454545454546</c:v>
                </c:pt>
                <c:pt idx="7">
                  <c:v>2.5756363636363631</c:v>
                </c:pt>
                <c:pt idx="8">
                  <c:v>2.9716363636363634</c:v>
                </c:pt>
                <c:pt idx="9">
                  <c:v>3.378857142857143</c:v>
                </c:pt>
                <c:pt idx="10">
                  <c:v>3.7987012987012987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254-4203-B0C0-45E775F98334}"/>
            </c:ext>
          </c:extLst>
        </c:ser>
        <c:ser>
          <c:idx val="0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vypocet!$N$16:$N$66</c:f>
              <c:numCache>
                <c:formatCode>0.00</c:formatCode>
                <c:ptCount val="51"/>
                <c:pt idx="0">
                  <c:v>9.0000000000000018</c:v>
                </c:pt>
                <c:pt idx="1">
                  <c:v>9.9000000000000021</c:v>
                </c:pt>
                <c:pt idx="2">
                  <c:v>10.800000000000002</c:v>
                </c:pt>
                <c:pt idx="3">
                  <c:v>11.700000000000003</c:v>
                </c:pt>
                <c:pt idx="4">
                  <c:v>12.600000000000003</c:v>
                </c:pt>
                <c:pt idx="5">
                  <c:v>13.500000000000004</c:v>
                </c:pt>
                <c:pt idx="6">
                  <c:v>14.400000000000004</c:v>
                </c:pt>
                <c:pt idx="7">
                  <c:v>15.300000000000004</c:v>
                </c:pt>
                <c:pt idx="8">
                  <c:v>16.200000000000003</c:v>
                </c:pt>
                <c:pt idx="9">
                  <c:v>17.100000000000001</c:v>
                </c:pt>
                <c:pt idx="10">
                  <c:v>18</c:v>
                </c:pt>
                <c:pt idx="11">
                  <c:v>19.5</c:v>
                </c:pt>
                <c:pt idx="12">
                  <c:v>21</c:v>
                </c:pt>
                <c:pt idx="13">
                  <c:v>22.5</c:v>
                </c:pt>
                <c:pt idx="14">
                  <c:v>24</c:v>
                </c:pt>
                <c:pt idx="15">
                  <c:v>25.5</c:v>
                </c:pt>
                <c:pt idx="16">
                  <c:v>27</c:v>
                </c:pt>
                <c:pt idx="17">
                  <c:v>28.5</c:v>
                </c:pt>
                <c:pt idx="18">
                  <c:v>30</c:v>
                </c:pt>
                <c:pt idx="19">
                  <c:v>31.5</c:v>
                </c:pt>
                <c:pt idx="20">
                  <c:v>33</c:v>
                </c:pt>
                <c:pt idx="21">
                  <c:v>34.5</c:v>
                </c:pt>
                <c:pt idx="22">
                  <c:v>36</c:v>
                </c:pt>
                <c:pt idx="23">
                  <c:v>37.5</c:v>
                </c:pt>
                <c:pt idx="24">
                  <c:v>39</c:v>
                </c:pt>
                <c:pt idx="25">
                  <c:v>40.5</c:v>
                </c:pt>
                <c:pt idx="26">
                  <c:v>42</c:v>
                </c:pt>
                <c:pt idx="27">
                  <c:v>43.5</c:v>
                </c:pt>
                <c:pt idx="28">
                  <c:v>45</c:v>
                </c:pt>
                <c:pt idx="29">
                  <c:v>46.5</c:v>
                </c:pt>
                <c:pt idx="30">
                  <c:v>48</c:v>
                </c:pt>
                <c:pt idx="31">
                  <c:v>48.9</c:v>
                </c:pt>
                <c:pt idx="32">
                  <c:v>49.8</c:v>
                </c:pt>
                <c:pt idx="33">
                  <c:v>50.699999999999996</c:v>
                </c:pt>
                <c:pt idx="34">
                  <c:v>51.599999999999994</c:v>
                </c:pt>
                <c:pt idx="35">
                  <c:v>52.499999999999993</c:v>
                </c:pt>
                <c:pt idx="36">
                  <c:v>53.399999999999991</c:v>
                </c:pt>
                <c:pt idx="37">
                  <c:v>54.29999999999999</c:v>
                </c:pt>
                <c:pt idx="38">
                  <c:v>55.199999999999989</c:v>
                </c:pt>
                <c:pt idx="39">
                  <c:v>56.099999999999987</c:v>
                </c:pt>
                <c:pt idx="40">
                  <c:v>56.999999999999986</c:v>
                </c:pt>
                <c:pt idx="41">
                  <c:v>57.899999999999984</c:v>
                </c:pt>
                <c:pt idx="42">
                  <c:v>58.799999999999983</c:v>
                </c:pt>
                <c:pt idx="43">
                  <c:v>59.699999999999982</c:v>
                </c:pt>
                <c:pt idx="44">
                  <c:v>60.59999999999998</c:v>
                </c:pt>
                <c:pt idx="45">
                  <c:v>61.499999999999979</c:v>
                </c:pt>
                <c:pt idx="46">
                  <c:v>62.399999999999977</c:v>
                </c:pt>
                <c:pt idx="47">
                  <c:v>63.299999999999976</c:v>
                </c:pt>
                <c:pt idx="48">
                  <c:v>64.199999999999974</c:v>
                </c:pt>
                <c:pt idx="49">
                  <c:v>65.09999999999998</c:v>
                </c:pt>
                <c:pt idx="50">
                  <c:v>65.999999999999986</c:v>
                </c:pt>
              </c:numCache>
            </c:numRef>
          </c:xVal>
          <c:yVal>
            <c:numRef>
              <c:f>vypocet!$Y$16:$Y$66</c:f>
              <c:numCache>
                <c:formatCode>0.00</c:formatCode>
                <c:ptCount val="51"/>
                <c:pt idx="0">
                  <c:v>3.7987012987012987</c:v>
                </c:pt>
                <c:pt idx="1">
                  <c:v>3.3325714285714287</c:v>
                </c:pt>
                <c:pt idx="2">
                  <c:v>2.8818701298701299</c:v>
                </c:pt>
                <c:pt idx="3">
                  <c:v>2.4480000000000004</c:v>
                </c:pt>
                <c:pt idx="4">
                  <c:v>2.0323636363636366</c:v>
                </c:pt>
                <c:pt idx="5">
                  <c:v>1.6363636363636362</c:v>
                </c:pt>
                <c:pt idx="6">
                  <c:v>1.2614025974025975</c:v>
                </c:pt>
                <c:pt idx="7">
                  <c:v>0.90888311688311763</c:v>
                </c:pt>
                <c:pt idx="8">
                  <c:v>0.58020779220779284</c:v>
                </c:pt>
                <c:pt idx="9">
                  <c:v>0.27677922077922101</c:v>
                </c:pt>
                <c:pt idx="10">
                  <c:v>0</c:v>
                </c:pt>
                <c:pt idx="11">
                  <c:v>-0.40020292207792207</c:v>
                </c:pt>
                <c:pt idx="12">
                  <c:v>-0.7275974025974028</c:v>
                </c:pt>
                <c:pt idx="13">
                  <c:v>-0.98729707792207777</c:v>
                </c:pt>
                <c:pt idx="14">
                  <c:v>-1.1844155844155846</c:v>
                </c:pt>
                <c:pt idx="15">
                  <c:v>-1.3240665584415585</c:v>
                </c:pt>
                <c:pt idx="16">
                  <c:v>-1.4113636363636362</c:v>
                </c:pt>
                <c:pt idx="17">
                  <c:v>-1.4514204545454545</c:v>
                </c:pt>
                <c:pt idx="18">
                  <c:v>-1.4493506493506492</c:v>
                </c:pt>
                <c:pt idx="19">
                  <c:v>-1.4102678571428575</c:v>
                </c:pt>
                <c:pt idx="20">
                  <c:v>-1.3392857142857144</c:v>
                </c:pt>
                <c:pt idx="21">
                  <c:v>-1.2415178571428569</c:v>
                </c:pt>
                <c:pt idx="22">
                  <c:v>-1.122077922077922</c:v>
                </c:pt>
                <c:pt idx="23">
                  <c:v>-0.98607954545454535</c:v>
                </c:pt>
                <c:pt idx="24">
                  <c:v>-0.83863636363636362</c:v>
                </c:pt>
                <c:pt idx="25">
                  <c:v>-0.68486201298701288</c:v>
                </c:pt>
                <c:pt idx="26">
                  <c:v>-0.52987012987012971</c:v>
                </c:pt>
                <c:pt idx="27">
                  <c:v>-0.37877435064935067</c:v>
                </c:pt>
                <c:pt idx="28">
                  <c:v>-0.23668831168831161</c:v>
                </c:pt>
                <c:pt idx="29">
                  <c:v>-0.10872564935064945</c:v>
                </c:pt>
                <c:pt idx="30">
                  <c:v>0</c:v>
                </c:pt>
                <c:pt idx="31">
                  <c:v>5.4131493506493412E-2</c:v>
                </c:pt>
                <c:pt idx="32">
                  <c:v>9.993506493506478E-2</c:v>
                </c:pt>
                <c:pt idx="33">
                  <c:v>0.13784902597402579</c:v>
                </c:pt>
                <c:pt idx="34">
                  <c:v>0.16831168831168811</c:v>
                </c:pt>
                <c:pt idx="35">
                  <c:v>0.19176136363636348</c:v>
                </c:pt>
                <c:pt idx="36">
                  <c:v>0.20863636363636345</c:v>
                </c:pt>
                <c:pt idx="37">
                  <c:v>0.2193749999999999</c:v>
                </c:pt>
                <c:pt idx="38">
                  <c:v>0.22441558441558435</c:v>
                </c:pt>
                <c:pt idx="39">
                  <c:v>0.22419642857142863</c:v>
                </c:pt>
                <c:pt idx="40">
                  <c:v>0.21915584415584424</c:v>
                </c:pt>
                <c:pt idx="41">
                  <c:v>0.20973214285714303</c:v>
                </c:pt>
                <c:pt idx="42">
                  <c:v>0.19636363636363657</c:v>
                </c:pt>
                <c:pt idx="43">
                  <c:v>0.17948863636363668</c:v>
                </c:pt>
                <c:pt idx="44">
                  <c:v>0.15954545454545505</c:v>
                </c:pt>
                <c:pt idx="45">
                  <c:v>0.13697240259740315</c:v>
                </c:pt>
                <c:pt idx="46">
                  <c:v>0.11220779220779287</c:v>
                </c:pt>
                <c:pt idx="47">
                  <c:v>8.5689935064935788E-2</c:v>
                </c:pt>
                <c:pt idx="48">
                  <c:v>5.7857142857143662E-2</c:v>
                </c:pt>
                <c:pt idx="49">
                  <c:v>2.9147727272727939E-2</c:v>
                </c:pt>
                <c:pt idx="50">
                  <c:v>4.5418214643756403E-16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254-4203-B0C0-45E775F98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4820527"/>
        <c:axId val="1"/>
      </c:scatterChart>
      <c:valAx>
        <c:axId val="1934820527"/>
        <c:scaling>
          <c:orientation val="minMax"/>
        </c:scaling>
        <c:delete val="0"/>
        <c:axPos val="t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crossBetween val="midCat"/>
      </c:valAx>
      <c:valAx>
        <c:axId val="1"/>
        <c:scaling>
          <c:orientation val="maxMin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34820527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1" u="none" strike="noStrike" baseline="0">
                <a:solidFill>
                  <a:srgbClr val="000000"/>
                </a:solidFill>
                <a:latin typeface="Symbol"/>
                <a:ea typeface="Symbol"/>
                <a:cs typeface="Symbol"/>
              </a:defRPr>
            </a:pPr>
            <a:r>
              <a:rPr lang="cs-CZ" sz="1075" b="0" i="1" u="none" strike="noStrike" baseline="0">
                <a:solidFill>
                  <a:srgbClr val="000000"/>
                </a:solidFill>
                <a:latin typeface="Symbol"/>
              </a:rPr>
              <a:t>h</a:t>
            </a:r>
            <a:r>
              <a:rPr lang="cs-CZ" sz="10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Mx</a:t>
            </a:r>
          </a:p>
        </c:rich>
      </c:tx>
      <c:layout>
        <c:manualLayout>
          <c:xMode val="edge"/>
          <c:yMode val="edge"/>
          <c:x val="0.47426400089695714"/>
          <c:y val="6.64841170660111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69592942819332E-2"/>
          <c:y val="0.24100492436429052"/>
          <c:w val="0.84981241789681017"/>
          <c:h val="0.66484117066011172"/>
        </c:manualLayout>
      </c:layout>
      <c:scatterChart>
        <c:scatterStyle val="smoothMarker"/>
        <c:varyColors val="0"/>
        <c:ser>
          <c:idx val="2"/>
          <c:order val="0"/>
          <c:tx>
            <c:v>Mba</c:v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vypocet!$AB$6:$AB$67</c:f>
              <c:numCache>
                <c:formatCode>0.000</c:formatCode>
                <c:ptCount val="62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5.3809523809523823</c:v>
                </c:pt>
                <c:pt idx="7">
                  <c:v>5.4</c:v>
                </c:pt>
                <c:pt idx="8">
                  <c:v>6.3000000000000007</c:v>
                </c:pt>
                <c:pt idx="9">
                  <c:v>7.2000000000000011</c:v>
                </c:pt>
                <c:pt idx="10">
                  <c:v>8.1000000000000014</c:v>
                </c:pt>
                <c:pt idx="11">
                  <c:v>9.0000000000000018</c:v>
                </c:pt>
                <c:pt idx="12">
                  <c:v>9.9000000000000021</c:v>
                </c:pt>
                <c:pt idx="13">
                  <c:v>10.800000000000002</c:v>
                </c:pt>
                <c:pt idx="14">
                  <c:v>11.700000000000003</c:v>
                </c:pt>
                <c:pt idx="15">
                  <c:v>12.600000000000003</c:v>
                </c:pt>
                <c:pt idx="16">
                  <c:v>13.500000000000004</c:v>
                </c:pt>
                <c:pt idx="17">
                  <c:v>14.400000000000004</c:v>
                </c:pt>
                <c:pt idx="18">
                  <c:v>15.300000000000004</c:v>
                </c:pt>
                <c:pt idx="19">
                  <c:v>16.200000000000003</c:v>
                </c:pt>
                <c:pt idx="20">
                  <c:v>17.100000000000001</c:v>
                </c:pt>
                <c:pt idx="21">
                  <c:v>18</c:v>
                </c:pt>
                <c:pt idx="22">
                  <c:v>19.5</c:v>
                </c:pt>
                <c:pt idx="23">
                  <c:v>21</c:v>
                </c:pt>
                <c:pt idx="24">
                  <c:v>22.5</c:v>
                </c:pt>
                <c:pt idx="25">
                  <c:v>24</c:v>
                </c:pt>
                <c:pt idx="26">
                  <c:v>25.5</c:v>
                </c:pt>
                <c:pt idx="27">
                  <c:v>27</c:v>
                </c:pt>
                <c:pt idx="28">
                  <c:v>28.5</c:v>
                </c:pt>
                <c:pt idx="29">
                  <c:v>30</c:v>
                </c:pt>
                <c:pt idx="30">
                  <c:v>31.5</c:v>
                </c:pt>
                <c:pt idx="31">
                  <c:v>33</c:v>
                </c:pt>
                <c:pt idx="32">
                  <c:v>34.5</c:v>
                </c:pt>
                <c:pt idx="33">
                  <c:v>36</c:v>
                </c:pt>
                <c:pt idx="34">
                  <c:v>37.5</c:v>
                </c:pt>
                <c:pt idx="35">
                  <c:v>39</c:v>
                </c:pt>
                <c:pt idx="36">
                  <c:v>40.5</c:v>
                </c:pt>
                <c:pt idx="37">
                  <c:v>42</c:v>
                </c:pt>
                <c:pt idx="38">
                  <c:v>43.5</c:v>
                </c:pt>
                <c:pt idx="39">
                  <c:v>45</c:v>
                </c:pt>
                <c:pt idx="40">
                  <c:v>46.5</c:v>
                </c:pt>
                <c:pt idx="41">
                  <c:v>48</c:v>
                </c:pt>
                <c:pt idx="42">
                  <c:v>48.9</c:v>
                </c:pt>
                <c:pt idx="43">
                  <c:v>49.8</c:v>
                </c:pt>
                <c:pt idx="44">
                  <c:v>50.699999999999996</c:v>
                </c:pt>
                <c:pt idx="45">
                  <c:v>51.599999999999994</c:v>
                </c:pt>
                <c:pt idx="46">
                  <c:v>52.499999999999993</c:v>
                </c:pt>
                <c:pt idx="47">
                  <c:v>53.399999999999991</c:v>
                </c:pt>
                <c:pt idx="48">
                  <c:v>54.29999999999999</c:v>
                </c:pt>
                <c:pt idx="49">
                  <c:v>55.199999999999989</c:v>
                </c:pt>
                <c:pt idx="50">
                  <c:v>56.099999999999987</c:v>
                </c:pt>
                <c:pt idx="51">
                  <c:v>56.999999999999986</c:v>
                </c:pt>
                <c:pt idx="52">
                  <c:v>57.899999999999984</c:v>
                </c:pt>
                <c:pt idx="53">
                  <c:v>58.799999999999983</c:v>
                </c:pt>
                <c:pt idx="54">
                  <c:v>59.699999999999982</c:v>
                </c:pt>
                <c:pt idx="55">
                  <c:v>60.59999999999998</c:v>
                </c:pt>
                <c:pt idx="56">
                  <c:v>61.499999999999979</c:v>
                </c:pt>
                <c:pt idx="57">
                  <c:v>62.399999999999977</c:v>
                </c:pt>
                <c:pt idx="58">
                  <c:v>63.299999999999976</c:v>
                </c:pt>
                <c:pt idx="59">
                  <c:v>64.199999999999974</c:v>
                </c:pt>
                <c:pt idx="60">
                  <c:v>65.09999999999998</c:v>
                </c:pt>
                <c:pt idx="61">
                  <c:v>65.999999999999986</c:v>
                </c:pt>
              </c:numCache>
            </c:numRef>
          </c:xVal>
          <c:yVal>
            <c:numRef>
              <c:f>vypocet!$AF$6:$AF$67</c:f>
              <c:numCache>
                <c:formatCode>0.000</c:formatCode>
                <c:ptCount val="62"/>
                <c:pt idx="0">
                  <c:v>0</c:v>
                </c:pt>
                <c:pt idx="1">
                  <c:v>0.57518614718614702</c:v>
                </c:pt>
                <c:pt idx="2">
                  <c:v>1.1512108843537412</c:v>
                </c:pt>
                <c:pt idx="3">
                  <c:v>1.7289128014842299</c:v>
                </c:pt>
                <c:pt idx="4">
                  <c:v>2.3091304885590591</c:v>
                </c:pt>
                <c:pt idx="5">
                  <c:v>2.8927025355596778</c:v>
                </c:pt>
                <c:pt idx="6">
                  <c:v>3.4679789013426672</c:v>
                </c:pt>
                <c:pt idx="7">
                  <c:v>3.4614199134199137</c:v>
                </c:pt>
                <c:pt idx="8">
                  <c:v>3.1542164502164503</c:v>
                </c:pt>
                <c:pt idx="9">
                  <c:v>2.8528831168831168</c:v>
                </c:pt>
                <c:pt idx="10">
                  <c:v>2.558258503401361</c:v>
                </c:pt>
                <c:pt idx="11">
                  <c:v>2.2711811997526277</c:v>
                </c:pt>
                <c:pt idx="12">
                  <c:v>1.9924897959183665</c:v>
                </c:pt>
                <c:pt idx="13">
                  <c:v>1.7230228818800237</c:v>
                </c:pt>
                <c:pt idx="14">
                  <c:v>1.4636190476190465</c:v>
                </c:pt>
                <c:pt idx="15">
                  <c:v>1.2151168831168815</c:v>
                </c:pt>
                <c:pt idx="16">
                  <c:v>0.97835497835497798</c:v>
                </c:pt>
                <c:pt idx="17">
                  <c:v>0.75417192331477834</c:v>
                </c:pt>
                <c:pt idx="18">
                  <c:v>0.54340630797773681</c:v>
                </c:pt>
                <c:pt idx="19">
                  <c:v>0.34689672232529384</c:v>
                </c:pt>
                <c:pt idx="20">
                  <c:v>0.16548175633889928</c:v>
                </c:pt>
                <c:pt idx="21">
                  <c:v>0</c:v>
                </c:pt>
                <c:pt idx="22">
                  <c:v>-0.23927476293547728</c:v>
                </c:pt>
                <c:pt idx="23">
                  <c:v>-0.43501855287569596</c:v>
                </c:pt>
                <c:pt idx="24">
                  <c:v>-0.59028872912801489</c:v>
                </c:pt>
                <c:pt idx="25">
                  <c:v>-0.70814265099979412</c:v>
                </c:pt>
                <c:pt idx="26">
                  <c:v>-0.79163767779839234</c:v>
                </c:pt>
                <c:pt idx="27">
                  <c:v>-0.84383116883116893</c:v>
                </c:pt>
                <c:pt idx="28">
                  <c:v>-0.86778048340548364</c:v>
                </c:pt>
                <c:pt idx="29">
                  <c:v>-0.8665429808286953</c:v>
                </c:pt>
                <c:pt idx="30">
                  <c:v>-0.84317602040816375</c:v>
                </c:pt>
                <c:pt idx="31">
                  <c:v>-0.8007369614512474</c:v>
                </c:pt>
                <c:pt idx="32">
                  <c:v>-0.74228316326530619</c:v>
                </c:pt>
                <c:pt idx="33">
                  <c:v>-0.67087198515769964</c:v>
                </c:pt>
                <c:pt idx="34">
                  <c:v>-0.58956078643578658</c:v>
                </c:pt>
                <c:pt idx="35">
                  <c:v>-0.50140692640692652</c:v>
                </c:pt>
                <c:pt idx="36">
                  <c:v>-0.40946776437847876</c:v>
                </c:pt>
                <c:pt idx="37">
                  <c:v>-0.31680065965780252</c:v>
                </c:pt>
                <c:pt idx="38">
                  <c:v>-0.22646297155225734</c:v>
                </c:pt>
                <c:pt idx="39">
                  <c:v>-0.14151205936920222</c:v>
                </c:pt>
                <c:pt idx="40">
                  <c:v>-6.5005282415996776E-2</c:v>
                </c:pt>
                <c:pt idx="41">
                  <c:v>0</c:v>
                </c:pt>
                <c:pt idx="42">
                  <c:v>3.2364332096474907E-2</c:v>
                </c:pt>
                <c:pt idx="43">
                  <c:v>5.9749536178107528E-2</c:v>
                </c:pt>
                <c:pt idx="44">
                  <c:v>8.2417671614100102E-2</c:v>
                </c:pt>
                <c:pt idx="45">
                  <c:v>0.10063079777365483</c:v>
                </c:pt>
                <c:pt idx="46">
                  <c:v>0.11465097402597398</c:v>
                </c:pt>
                <c:pt idx="47">
                  <c:v>0.12474025974025967</c:v>
                </c:pt>
                <c:pt idx="48">
                  <c:v>0.13116071428571427</c:v>
                </c:pt>
                <c:pt idx="49">
                  <c:v>0.13417439703153988</c:v>
                </c:pt>
                <c:pt idx="50">
                  <c:v>0.13404336734693884</c:v>
                </c:pt>
                <c:pt idx="51">
                  <c:v>0.13102968460111325</c:v>
                </c:pt>
                <c:pt idx="52">
                  <c:v>0.12539540816326544</c:v>
                </c:pt>
                <c:pt idx="53">
                  <c:v>0.11740259740259756</c:v>
                </c:pt>
                <c:pt idx="54">
                  <c:v>0.1073133116883119</c:v>
                </c:pt>
                <c:pt idx="55">
                  <c:v>9.5389610389610704E-2</c:v>
                </c:pt>
                <c:pt idx="56">
                  <c:v>8.189355287569608E-2</c:v>
                </c:pt>
                <c:pt idx="57">
                  <c:v>6.7087198515770358E-2</c:v>
                </c:pt>
                <c:pt idx="58">
                  <c:v>5.1232606679035696E-2</c:v>
                </c:pt>
                <c:pt idx="59">
                  <c:v>3.4591836734694369E-2</c:v>
                </c:pt>
                <c:pt idx="60">
                  <c:v>1.7426948051948454E-2</c:v>
                </c:pt>
                <c:pt idx="61">
                  <c:v>2.7154805580658597E-16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D2-49E4-A993-48AB9D28A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4822191"/>
        <c:axId val="1"/>
      </c:scatterChart>
      <c:valAx>
        <c:axId val="1934822191"/>
        <c:scaling>
          <c:orientation val="minMax"/>
        </c:scaling>
        <c:delete val="0"/>
        <c:axPos val="t"/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crossBetween val="midCat"/>
      </c:valAx>
      <c:valAx>
        <c:axId val="1"/>
        <c:scaling>
          <c:orientation val="maxMin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34822191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1" u="none" strike="noStrike" baseline="0">
                <a:solidFill>
                  <a:srgbClr val="000000"/>
                </a:solidFill>
                <a:latin typeface="Symbol"/>
                <a:ea typeface="Symbol"/>
                <a:cs typeface="Symbol"/>
              </a:defRPr>
            </a:pPr>
            <a:r>
              <a:rPr lang="cs-CZ" sz="1125" b="0" i="1" u="none" strike="noStrike" baseline="0">
                <a:solidFill>
                  <a:srgbClr val="000000"/>
                </a:solidFill>
                <a:latin typeface="Symbol"/>
              </a:rPr>
              <a:t>h</a:t>
            </a:r>
            <a:r>
              <a:rPr lang="cs-CZ" sz="1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R</a:t>
            </a:r>
            <a:r>
              <a:rPr lang="cs-CZ" sz="1125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a</a:t>
            </a:r>
          </a:p>
        </c:rich>
      </c:tx>
      <c:layout>
        <c:manualLayout>
          <c:xMode val="edge"/>
          <c:yMode val="edge"/>
          <c:x val="0.47549462636302825"/>
          <c:y val="3.70382391205743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017961881245687E-2"/>
          <c:y val="0.22487502323205855"/>
          <c:w val="0.85610355374329983"/>
          <c:h val="0.68785301223923778"/>
        </c:manualLayout>
      </c:layout>
      <c:scatterChart>
        <c:scatterStyle val="smoothMarker"/>
        <c:varyColors val="0"/>
        <c:ser>
          <c:idx val="2"/>
          <c:order val="0"/>
          <c:tx>
            <c:v>Mba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vypocet!$N$6:$N$66</c:f>
              <c:numCache>
                <c:formatCode>0.00</c:formatCode>
                <c:ptCount val="6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6.3000000000000007</c:v>
                </c:pt>
                <c:pt idx="8">
                  <c:v>7.2000000000000011</c:v>
                </c:pt>
                <c:pt idx="9">
                  <c:v>8.1000000000000014</c:v>
                </c:pt>
                <c:pt idx="10">
                  <c:v>9.0000000000000018</c:v>
                </c:pt>
                <c:pt idx="11">
                  <c:v>9.9000000000000021</c:v>
                </c:pt>
                <c:pt idx="12">
                  <c:v>10.800000000000002</c:v>
                </c:pt>
                <c:pt idx="13">
                  <c:v>11.700000000000003</c:v>
                </c:pt>
                <c:pt idx="14">
                  <c:v>12.600000000000003</c:v>
                </c:pt>
                <c:pt idx="15">
                  <c:v>13.500000000000004</c:v>
                </c:pt>
                <c:pt idx="16">
                  <c:v>14.400000000000004</c:v>
                </c:pt>
                <c:pt idx="17">
                  <c:v>15.300000000000004</c:v>
                </c:pt>
                <c:pt idx="18">
                  <c:v>16.200000000000003</c:v>
                </c:pt>
                <c:pt idx="19">
                  <c:v>17.100000000000001</c:v>
                </c:pt>
                <c:pt idx="20">
                  <c:v>18</c:v>
                </c:pt>
                <c:pt idx="21">
                  <c:v>19.5</c:v>
                </c:pt>
                <c:pt idx="22">
                  <c:v>21</c:v>
                </c:pt>
                <c:pt idx="23">
                  <c:v>22.5</c:v>
                </c:pt>
                <c:pt idx="24">
                  <c:v>24</c:v>
                </c:pt>
                <c:pt idx="25">
                  <c:v>25.5</c:v>
                </c:pt>
                <c:pt idx="26">
                  <c:v>27</c:v>
                </c:pt>
                <c:pt idx="27">
                  <c:v>28.5</c:v>
                </c:pt>
                <c:pt idx="28">
                  <c:v>30</c:v>
                </c:pt>
                <c:pt idx="29">
                  <c:v>31.5</c:v>
                </c:pt>
                <c:pt idx="30">
                  <c:v>33</c:v>
                </c:pt>
                <c:pt idx="31">
                  <c:v>34.5</c:v>
                </c:pt>
                <c:pt idx="32">
                  <c:v>36</c:v>
                </c:pt>
                <c:pt idx="33">
                  <c:v>37.5</c:v>
                </c:pt>
                <c:pt idx="34">
                  <c:v>39</c:v>
                </c:pt>
                <c:pt idx="35">
                  <c:v>40.5</c:v>
                </c:pt>
                <c:pt idx="36">
                  <c:v>42</c:v>
                </c:pt>
                <c:pt idx="37">
                  <c:v>43.5</c:v>
                </c:pt>
                <c:pt idx="38">
                  <c:v>45</c:v>
                </c:pt>
                <c:pt idx="39">
                  <c:v>46.5</c:v>
                </c:pt>
                <c:pt idx="40">
                  <c:v>48</c:v>
                </c:pt>
                <c:pt idx="41">
                  <c:v>48.9</c:v>
                </c:pt>
                <c:pt idx="42">
                  <c:v>49.8</c:v>
                </c:pt>
                <c:pt idx="43">
                  <c:v>50.699999999999996</c:v>
                </c:pt>
                <c:pt idx="44">
                  <c:v>51.599999999999994</c:v>
                </c:pt>
                <c:pt idx="45">
                  <c:v>52.499999999999993</c:v>
                </c:pt>
                <c:pt idx="46">
                  <c:v>53.399999999999991</c:v>
                </c:pt>
                <c:pt idx="47">
                  <c:v>54.29999999999999</c:v>
                </c:pt>
                <c:pt idx="48">
                  <c:v>55.199999999999989</c:v>
                </c:pt>
                <c:pt idx="49">
                  <c:v>56.099999999999987</c:v>
                </c:pt>
                <c:pt idx="50">
                  <c:v>56.999999999999986</c:v>
                </c:pt>
                <c:pt idx="51">
                  <c:v>57.899999999999984</c:v>
                </c:pt>
                <c:pt idx="52">
                  <c:v>58.799999999999983</c:v>
                </c:pt>
                <c:pt idx="53">
                  <c:v>59.699999999999982</c:v>
                </c:pt>
                <c:pt idx="54">
                  <c:v>60.59999999999998</c:v>
                </c:pt>
                <c:pt idx="55">
                  <c:v>61.499999999999979</c:v>
                </c:pt>
                <c:pt idx="56">
                  <c:v>62.399999999999977</c:v>
                </c:pt>
                <c:pt idx="57">
                  <c:v>63.299999999999976</c:v>
                </c:pt>
                <c:pt idx="58">
                  <c:v>64.199999999999974</c:v>
                </c:pt>
                <c:pt idx="59">
                  <c:v>65.09999999999998</c:v>
                </c:pt>
                <c:pt idx="60">
                  <c:v>65.999999999999986</c:v>
                </c:pt>
              </c:numCache>
            </c:numRef>
          </c:xVal>
          <c:yVal>
            <c:numRef>
              <c:f>vypocet!$AH$6:$AH$66</c:f>
              <c:numCache>
                <c:formatCode>0.000</c:formatCode>
                <c:ptCount val="61"/>
                <c:pt idx="0">
                  <c:v>1</c:v>
                </c:pt>
                <c:pt idx="1">
                  <c:v>0.93963636363636349</c:v>
                </c:pt>
                <c:pt idx="2">
                  <c:v>0.87942857142857134</c:v>
                </c:pt>
                <c:pt idx="3">
                  <c:v>0.81953246753246733</c:v>
                </c:pt>
                <c:pt idx="4">
                  <c:v>0.76010389610389595</c:v>
                </c:pt>
                <c:pt idx="5">
                  <c:v>0.70129870129870109</c:v>
                </c:pt>
                <c:pt idx="6">
                  <c:v>0.64327272727272711</c:v>
                </c:pt>
                <c:pt idx="7">
                  <c:v>0.5861818181818178</c:v>
                </c:pt>
                <c:pt idx="8">
                  <c:v>0.53018181818181775</c:v>
                </c:pt>
                <c:pt idx="9">
                  <c:v>0.47542857142857103</c:v>
                </c:pt>
                <c:pt idx="10">
                  <c:v>0.42207792207792172</c:v>
                </c:pt>
                <c:pt idx="11">
                  <c:v>0.37028571428571389</c:v>
                </c:pt>
                <c:pt idx="12">
                  <c:v>0.32020779220779183</c:v>
                </c:pt>
                <c:pt idx="13">
                  <c:v>0.27199999999999969</c:v>
                </c:pt>
                <c:pt idx="14">
                  <c:v>0.22581818181818147</c:v>
                </c:pt>
                <c:pt idx="15">
                  <c:v>0.18181818181818149</c:v>
                </c:pt>
                <c:pt idx="16">
                  <c:v>0.14015584415584381</c:v>
                </c:pt>
                <c:pt idx="17">
                  <c:v>0.10098701298701274</c:v>
                </c:pt>
                <c:pt idx="18">
                  <c:v>6.4467532467532229E-2</c:v>
                </c:pt>
                <c:pt idx="19">
                  <c:v>3.0753246753246463E-2</c:v>
                </c:pt>
                <c:pt idx="20">
                  <c:v>0</c:v>
                </c:pt>
                <c:pt idx="21">
                  <c:v>-4.4466991341991349E-2</c:v>
                </c:pt>
                <c:pt idx="22">
                  <c:v>-8.0844155844155871E-2</c:v>
                </c:pt>
                <c:pt idx="23">
                  <c:v>-0.10969967532467531</c:v>
                </c:pt>
                <c:pt idx="24">
                  <c:v>-0.13160173160173164</c:v>
                </c:pt>
                <c:pt idx="25">
                  <c:v>-0.1471185064935065</c:v>
                </c:pt>
                <c:pt idx="26">
                  <c:v>-0.1568181818181818</c:v>
                </c:pt>
                <c:pt idx="27">
                  <c:v>-0.16126893939393938</c:v>
                </c:pt>
                <c:pt idx="28">
                  <c:v>-0.16103896103896104</c:v>
                </c:pt>
                <c:pt idx="29">
                  <c:v>-0.15669642857142863</c:v>
                </c:pt>
                <c:pt idx="30">
                  <c:v>-0.14880952380952384</c:v>
                </c:pt>
                <c:pt idx="31">
                  <c:v>-0.13794642857142858</c:v>
                </c:pt>
                <c:pt idx="32">
                  <c:v>-0.12467532467532469</c:v>
                </c:pt>
                <c:pt idx="33">
                  <c:v>-0.10956439393939393</c:v>
                </c:pt>
                <c:pt idx="34">
                  <c:v>-9.3181818181818199E-2</c:v>
                </c:pt>
                <c:pt idx="35">
                  <c:v>-7.6095779220779203E-2</c:v>
                </c:pt>
                <c:pt idx="36">
                  <c:v>-5.8874458874458871E-2</c:v>
                </c:pt>
                <c:pt idx="37">
                  <c:v>-4.2086038961038963E-2</c:v>
                </c:pt>
                <c:pt idx="38">
                  <c:v>-2.629870129870129E-2</c:v>
                </c:pt>
                <c:pt idx="39">
                  <c:v>-1.2080627705627718E-2</c:v>
                </c:pt>
                <c:pt idx="40">
                  <c:v>0</c:v>
                </c:pt>
                <c:pt idx="41">
                  <c:v>6.0146103896103788E-3</c:v>
                </c:pt>
                <c:pt idx="42">
                  <c:v>1.1103896103896088E-2</c:v>
                </c:pt>
                <c:pt idx="43">
                  <c:v>1.5316558441558424E-2</c:v>
                </c:pt>
                <c:pt idx="44">
                  <c:v>1.8701298701298677E-2</c:v>
                </c:pt>
                <c:pt idx="45">
                  <c:v>2.1306818181818166E-2</c:v>
                </c:pt>
                <c:pt idx="46">
                  <c:v>2.3181818181818161E-2</c:v>
                </c:pt>
                <c:pt idx="47">
                  <c:v>2.4374999999999994E-2</c:v>
                </c:pt>
                <c:pt idx="48">
                  <c:v>2.4935064935064928E-2</c:v>
                </c:pt>
                <c:pt idx="49">
                  <c:v>2.4910714285714293E-2</c:v>
                </c:pt>
                <c:pt idx="50">
                  <c:v>2.4350649350649359E-2</c:v>
                </c:pt>
                <c:pt idx="51">
                  <c:v>2.3303571428571448E-2</c:v>
                </c:pt>
                <c:pt idx="52">
                  <c:v>2.1818181818181844E-2</c:v>
                </c:pt>
                <c:pt idx="53">
                  <c:v>1.9943181818181853E-2</c:v>
                </c:pt>
                <c:pt idx="54">
                  <c:v>1.7727272727272782E-2</c:v>
                </c:pt>
                <c:pt idx="55">
                  <c:v>1.5219155844155908E-2</c:v>
                </c:pt>
                <c:pt idx="56">
                  <c:v>1.246753246753254E-2</c:v>
                </c:pt>
                <c:pt idx="57">
                  <c:v>9.521103896103977E-3</c:v>
                </c:pt>
                <c:pt idx="58">
                  <c:v>6.4285714285715187E-3</c:v>
                </c:pt>
                <c:pt idx="59">
                  <c:v>3.2386363636364378E-3</c:v>
                </c:pt>
                <c:pt idx="60">
                  <c:v>5.0464682937507114E-17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81-4DCC-B69D-13AB37B49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4836751"/>
        <c:axId val="1"/>
      </c:scatterChart>
      <c:valAx>
        <c:axId val="1934836751"/>
        <c:scaling>
          <c:orientation val="minMax"/>
        </c:scaling>
        <c:delete val="0"/>
        <c:axPos val="t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crossBetween val="midCat"/>
      </c:valAx>
      <c:valAx>
        <c:axId val="1"/>
        <c:scaling>
          <c:orientation val="maxMin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34836751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1" u="none" strike="noStrike" baseline="0">
                <a:solidFill>
                  <a:srgbClr val="000000"/>
                </a:solidFill>
                <a:latin typeface="Symbol"/>
                <a:ea typeface="Symbol"/>
                <a:cs typeface="Symbol"/>
              </a:defRPr>
            </a:pPr>
            <a:r>
              <a:rPr lang="cs-CZ" sz="1175" b="0" i="1" u="none" strike="noStrike" baseline="0">
                <a:solidFill>
                  <a:srgbClr val="000000"/>
                </a:solidFill>
                <a:latin typeface="Symbol"/>
              </a:rPr>
              <a:t>h</a:t>
            </a:r>
            <a:r>
              <a:rPr lang="cs-CZ" sz="11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Q</a:t>
            </a:r>
            <a:r>
              <a:rPr lang="cs-CZ" sz="1175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ba</a:t>
            </a:r>
          </a:p>
        </c:rich>
      </c:tx>
      <c:layout>
        <c:manualLayout>
          <c:xMode val="edge"/>
          <c:yMode val="edge"/>
          <c:x val="0.46889902351124496"/>
          <c:y val="5.8377522317765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00756580567397"/>
          <c:y val="0.24366270184806568"/>
          <c:w val="0.84552043598824034"/>
          <c:h val="0.66753427693792988"/>
        </c:manualLayout>
      </c:layout>
      <c:scatterChart>
        <c:scatterStyle val="smoothMarker"/>
        <c:varyColors val="0"/>
        <c:ser>
          <c:idx val="2"/>
          <c:order val="0"/>
          <c:tx>
            <c:v>Mba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vypocet!$N$6:$N$26</c:f>
              <c:numCache>
                <c:formatCode>0.00</c:formatCode>
                <c:ptCount val="2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6.3000000000000007</c:v>
                </c:pt>
                <c:pt idx="8">
                  <c:v>7.2000000000000011</c:v>
                </c:pt>
                <c:pt idx="9">
                  <c:v>8.1000000000000014</c:v>
                </c:pt>
                <c:pt idx="10">
                  <c:v>9.0000000000000018</c:v>
                </c:pt>
                <c:pt idx="11">
                  <c:v>9.9000000000000021</c:v>
                </c:pt>
                <c:pt idx="12">
                  <c:v>10.800000000000002</c:v>
                </c:pt>
                <c:pt idx="13">
                  <c:v>11.700000000000003</c:v>
                </c:pt>
                <c:pt idx="14">
                  <c:v>12.600000000000003</c:v>
                </c:pt>
                <c:pt idx="15">
                  <c:v>13.500000000000004</c:v>
                </c:pt>
                <c:pt idx="16">
                  <c:v>14.400000000000004</c:v>
                </c:pt>
                <c:pt idx="17">
                  <c:v>15.300000000000004</c:v>
                </c:pt>
                <c:pt idx="18">
                  <c:v>16.200000000000003</c:v>
                </c:pt>
                <c:pt idx="19">
                  <c:v>17.100000000000001</c:v>
                </c:pt>
                <c:pt idx="20">
                  <c:v>18</c:v>
                </c:pt>
              </c:numCache>
            </c:numRef>
          </c:xVal>
          <c:yVal>
            <c:numRef>
              <c:f>vypocet!$AJ$6:$AJ$26</c:f>
              <c:numCache>
                <c:formatCode>0.000</c:formatCode>
                <c:ptCount val="21"/>
                <c:pt idx="0">
                  <c:v>0</c:v>
                </c:pt>
                <c:pt idx="1">
                  <c:v>-6.0363636363636369E-2</c:v>
                </c:pt>
                <c:pt idx="2">
                  <c:v>-0.12057142857142858</c:v>
                </c:pt>
                <c:pt idx="3">
                  <c:v>-0.1804675324675325</c:v>
                </c:pt>
                <c:pt idx="4">
                  <c:v>-0.23989610389610391</c:v>
                </c:pt>
                <c:pt idx="5">
                  <c:v>-0.29870129870129869</c:v>
                </c:pt>
                <c:pt idx="6">
                  <c:v>-0.35672727272727267</c:v>
                </c:pt>
                <c:pt idx="7">
                  <c:v>-0.41381818181818181</c:v>
                </c:pt>
                <c:pt idx="8">
                  <c:v>-0.4698181818181818</c:v>
                </c:pt>
                <c:pt idx="9">
                  <c:v>-0.52457142857142847</c:v>
                </c:pt>
                <c:pt idx="10">
                  <c:v>-0.57792207792207784</c:v>
                </c:pt>
                <c:pt idx="11">
                  <c:v>-0.62971428571428567</c:v>
                </c:pt>
                <c:pt idx="12">
                  <c:v>-0.67979220779220784</c:v>
                </c:pt>
                <c:pt idx="13">
                  <c:v>-0.72799999999999998</c:v>
                </c:pt>
                <c:pt idx="14">
                  <c:v>-0.77418181818181819</c:v>
                </c:pt>
                <c:pt idx="15">
                  <c:v>-0.81818181818181834</c:v>
                </c:pt>
                <c:pt idx="16">
                  <c:v>-0.85984415584415597</c:v>
                </c:pt>
                <c:pt idx="17">
                  <c:v>-0.89901298701298715</c:v>
                </c:pt>
                <c:pt idx="18">
                  <c:v>-0.93553246753246766</c:v>
                </c:pt>
                <c:pt idx="19">
                  <c:v>-0.96924675324675347</c:v>
                </c:pt>
                <c:pt idx="20">
                  <c:v>-1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F3D-41AC-B8A9-7CB589DD38BC}"/>
            </c:ext>
          </c:extLst>
        </c:ser>
        <c:ser>
          <c:idx val="0"/>
          <c:order val="1"/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vypocet!$N$26:$N$66</c:f>
              <c:numCache>
                <c:formatCode>0.00</c:formatCode>
                <c:ptCount val="41"/>
                <c:pt idx="0">
                  <c:v>18</c:v>
                </c:pt>
                <c:pt idx="1">
                  <c:v>19.5</c:v>
                </c:pt>
                <c:pt idx="2">
                  <c:v>21</c:v>
                </c:pt>
                <c:pt idx="3">
                  <c:v>22.5</c:v>
                </c:pt>
                <c:pt idx="4">
                  <c:v>24</c:v>
                </c:pt>
                <c:pt idx="5">
                  <c:v>25.5</c:v>
                </c:pt>
                <c:pt idx="6">
                  <c:v>27</c:v>
                </c:pt>
                <c:pt idx="7">
                  <c:v>28.5</c:v>
                </c:pt>
                <c:pt idx="8">
                  <c:v>30</c:v>
                </c:pt>
                <c:pt idx="9">
                  <c:v>31.5</c:v>
                </c:pt>
                <c:pt idx="10">
                  <c:v>33</c:v>
                </c:pt>
                <c:pt idx="11">
                  <c:v>34.5</c:v>
                </c:pt>
                <c:pt idx="12">
                  <c:v>36</c:v>
                </c:pt>
                <c:pt idx="13">
                  <c:v>37.5</c:v>
                </c:pt>
                <c:pt idx="14">
                  <c:v>39</c:v>
                </c:pt>
                <c:pt idx="15">
                  <c:v>40.5</c:v>
                </c:pt>
                <c:pt idx="16">
                  <c:v>42</c:v>
                </c:pt>
                <c:pt idx="17">
                  <c:v>43.5</c:v>
                </c:pt>
                <c:pt idx="18">
                  <c:v>45</c:v>
                </c:pt>
                <c:pt idx="19">
                  <c:v>46.5</c:v>
                </c:pt>
                <c:pt idx="20">
                  <c:v>48</c:v>
                </c:pt>
                <c:pt idx="21">
                  <c:v>48.9</c:v>
                </c:pt>
                <c:pt idx="22">
                  <c:v>49.8</c:v>
                </c:pt>
                <c:pt idx="23">
                  <c:v>50.699999999999996</c:v>
                </c:pt>
                <c:pt idx="24">
                  <c:v>51.599999999999994</c:v>
                </c:pt>
                <c:pt idx="25">
                  <c:v>52.499999999999993</c:v>
                </c:pt>
                <c:pt idx="26">
                  <c:v>53.399999999999991</c:v>
                </c:pt>
                <c:pt idx="27">
                  <c:v>54.29999999999999</c:v>
                </c:pt>
                <c:pt idx="28">
                  <c:v>55.199999999999989</c:v>
                </c:pt>
                <c:pt idx="29">
                  <c:v>56.099999999999987</c:v>
                </c:pt>
                <c:pt idx="30">
                  <c:v>56.999999999999986</c:v>
                </c:pt>
                <c:pt idx="31">
                  <c:v>57.899999999999984</c:v>
                </c:pt>
                <c:pt idx="32">
                  <c:v>58.799999999999983</c:v>
                </c:pt>
                <c:pt idx="33">
                  <c:v>59.699999999999982</c:v>
                </c:pt>
                <c:pt idx="34">
                  <c:v>60.59999999999998</c:v>
                </c:pt>
                <c:pt idx="35">
                  <c:v>61.499999999999979</c:v>
                </c:pt>
                <c:pt idx="36">
                  <c:v>62.399999999999977</c:v>
                </c:pt>
                <c:pt idx="37">
                  <c:v>63.299999999999976</c:v>
                </c:pt>
                <c:pt idx="38">
                  <c:v>64.199999999999974</c:v>
                </c:pt>
                <c:pt idx="39">
                  <c:v>65.09999999999998</c:v>
                </c:pt>
                <c:pt idx="40">
                  <c:v>65.999999999999986</c:v>
                </c:pt>
              </c:numCache>
            </c:numRef>
          </c:xVal>
          <c:yVal>
            <c:numRef>
              <c:f>vypocet!$AK$26:$AK$66</c:f>
              <c:numCache>
                <c:formatCode>0.000</c:formatCode>
                <c:ptCount val="41"/>
                <c:pt idx="0" formatCode="0.00">
                  <c:v>0</c:v>
                </c:pt>
                <c:pt idx="1">
                  <c:v>-4.4466991341991342E-2</c:v>
                </c:pt>
                <c:pt idx="2">
                  <c:v>-8.0844155844155857E-2</c:v>
                </c:pt>
                <c:pt idx="3">
                  <c:v>-0.1096996753246753</c:v>
                </c:pt>
                <c:pt idx="4">
                  <c:v>-0.13160173160173164</c:v>
                </c:pt>
                <c:pt idx="5">
                  <c:v>-0.1471185064935065</c:v>
                </c:pt>
                <c:pt idx="6">
                  <c:v>-0.15681818181818177</c:v>
                </c:pt>
                <c:pt idx="7">
                  <c:v>-0.16126893939393938</c:v>
                </c:pt>
                <c:pt idx="8">
                  <c:v>-0.16103896103896104</c:v>
                </c:pt>
                <c:pt idx="9">
                  <c:v>-0.1566964285714286</c:v>
                </c:pt>
                <c:pt idx="10">
                  <c:v>-0.14880952380952381</c:v>
                </c:pt>
                <c:pt idx="11">
                  <c:v>-0.13794642857142855</c:v>
                </c:pt>
                <c:pt idx="12">
                  <c:v>-0.12467532467532469</c:v>
                </c:pt>
                <c:pt idx="13">
                  <c:v>-0.10956439393939393</c:v>
                </c:pt>
                <c:pt idx="14">
                  <c:v>-9.3181818181818185E-2</c:v>
                </c:pt>
                <c:pt idx="15">
                  <c:v>-7.6095779220779203E-2</c:v>
                </c:pt>
                <c:pt idx="16">
                  <c:v>-5.8874458874458864E-2</c:v>
                </c:pt>
                <c:pt idx="17">
                  <c:v>-4.2086038961038963E-2</c:v>
                </c:pt>
                <c:pt idx="18">
                  <c:v>-2.629870129870129E-2</c:v>
                </c:pt>
                <c:pt idx="19">
                  <c:v>-1.2080627705627718E-2</c:v>
                </c:pt>
                <c:pt idx="20">
                  <c:v>0</c:v>
                </c:pt>
                <c:pt idx="21">
                  <c:v>6.0146103896103788E-3</c:v>
                </c:pt>
                <c:pt idx="22">
                  <c:v>1.1103896103896088E-2</c:v>
                </c:pt>
                <c:pt idx="23">
                  <c:v>1.5316558441558423E-2</c:v>
                </c:pt>
                <c:pt idx="24">
                  <c:v>1.8701298701298677E-2</c:v>
                </c:pt>
                <c:pt idx="25">
                  <c:v>2.1306818181818166E-2</c:v>
                </c:pt>
                <c:pt idx="26">
                  <c:v>2.3181818181818161E-2</c:v>
                </c:pt>
                <c:pt idx="27">
                  <c:v>2.437499999999999E-2</c:v>
                </c:pt>
                <c:pt idx="28">
                  <c:v>2.4935064935064925E-2</c:v>
                </c:pt>
                <c:pt idx="29">
                  <c:v>2.491071428571429E-2</c:v>
                </c:pt>
                <c:pt idx="30">
                  <c:v>2.4350649350649359E-2</c:v>
                </c:pt>
                <c:pt idx="31">
                  <c:v>2.3303571428571448E-2</c:v>
                </c:pt>
                <c:pt idx="32">
                  <c:v>2.1818181818181844E-2</c:v>
                </c:pt>
                <c:pt idx="33">
                  <c:v>1.9943181818181853E-2</c:v>
                </c:pt>
                <c:pt idx="34">
                  <c:v>1.7727272727272782E-2</c:v>
                </c:pt>
                <c:pt idx="35">
                  <c:v>1.5219155844155908E-2</c:v>
                </c:pt>
                <c:pt idx="36">
                  <c:v>1.246753246753254E-2</c:v>
                </c:pt>
                <c:pt idx="37">
                  <c:v>9.5211038961039753E-3</c:v>
                </c:pt>
                <c:pt idx="38">
                  <c:v>6.4285714285715187E-3</c:v>
                </c:pt>
                <c:pt idx="39">
                  <c:v>3.2386363636364374E-3</c:v>
                </c:pt>
                <c:pt idx="40">
                  <c:v>5.0464682937507114E-17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F3D-41AC-B8A9-7CB589DD38BC}"/>
            </c:ext>
          </c:extLst>
        </c:ser>
        <c:ser>
          <c:idx val="1"/>
          <c:order val="2"/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vypocet!$AK$23:$AK$24</c:f>
              <c:numCache>
                <c:formatCode>0.00</c:formatCode>
                <c:ptCount val="2"/>
                <c:pt idx="0">
                  <c:v>18</c:v>
                </c:pt>
                <c:pt idx="1">
                  <c:v>18</c:v>
                </c:pt>
              </c:numCache>
            </c:numRef>
          </c:xVal>
          <c:yVal>
            <c:numRef>
              <c:f>vypocet!$AK$25:$AK$26</c:f>
              <c:numCache>
                <c:formatCode>0.00</c:formatCode>
                <c:ptCount val="2"/>
                <c:pt idx="0" formatCode="0.000">
                  <c:v>-1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F3D-41AC-B8A9-7CB589DD3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4819695"/>
        <c:axId val="1"/>
      </c:scatterChart>
      <c:valAx>
        <c:axId val="1934819695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34819695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69353614820084E-2"/>
          <c:y val="7.7553834753815526E-2"/>
          <c:w val="0.93178784927222302"/>
          <c:h val="0.84901040151545415"/>
        </c:manualLayout>
      </c:layout>
      <c:scatterChart>
        <c:scatterStyle val="smoothMarker"/>
        <c:varyColors val="0"/>
        <c:ser>
          <c:idx val="2"/>
          <c:order val="0"/>
          <c:tx>
            <c:v>Mba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vypocet!$N$6:$N$26</c:f>
              <c:numCache>
                <c:formatCode>0.00</c:formatCode>
                <c:ptCount val="2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6.3000000000000007</c:v>
                </c:pt>
                <c:pt idx="8">
                  <c:v>7.2000000000000011</c:v>
                </c:pt>
                <c:pt idx="9">
                  <c:v>8.1000000000000014</c:v>
                </c:pt>
                <c:pt idx="10">
                  <c:v>9.0000000000000018</c:v>
                </c:pt>
                <c:pt idx="11">
                  <c:v>9.9000000000000021</c:v>
                </c:pt>
                <c:pt idx="12">
                  <c:v>10.800000000000002</c:v>
                </c:pt>
                <c:pt idx="13">
                  <c:v>11.700000000000003</c:v>
                </c:pt>
                <c:pt idx="14">
                  <c:v>12.600000000000003</c:v>
                </c:pt>
                <c:pt idx="15">
                  <c:v>13.500000000000004</c:v>
                </c:pt>
                <c:pt idx="16">
                  <c:v>14.400000000000004</c:v>
                </c:pt>
                <c:pt idx="17">
                  <c:v>15.300000000000004</c:v>
                </c:pt>
                <c:pt idx="18">
                  <c:v>16.200000000000003</c:v>
                </c:pt>
                <c:pt idx="19">
                  <c:v>17.100000000000001</c:v>
                </c:pt>
                <c:pt idx="20">
                  <c:v>18</c:v>
                </c:pt>
              </c:numCache>
            </c:numRef>
          </c:xVal>
          <c:yVal>
            <c:numRef>
              <c:f>vypocet!$S$6:$S$26</c:f>
              <c:numCache>
                <c:formatCode>0.000</c:formatCode>
                <c:ptCount val="21"/>
                <c:pt idx="0">
                  <c:v>0</c:v>
                </c:pt>
                <c:pt idx="1">
                  <c:v>-0.18654545454545463</c:v>
                </c:pt>
                <c:pt idx="2">
                  <c:v>-0.37028571428571444</c:v>
                </c:pt>
                <c:pt idx="3">
                  <c:v>-0.54841558441558469</c:v>
                </c:pt>
                <c:pt idx="4">
                  <c:v>-0.71812987012987017</c:v>
                </c:pt>
                <c:pt idx="5">
                  <c:v>-0.87662337662337664</c:v>
                </c:pt>
                <c:pt idx="6">
                  <c:v>-1.0210909090909088</c:v>
                </c:pt>
                <c:pt idx="7">
                  <c:v>-1.1487272727272733</c:v>
                </c:pt>
                <c:pt idx="8">
                  <c:v>-1.2567272727272734</c:v>
                </c:pt>
                <c:pt idx="9">
                  <c:v>-1.3422857142857136</c:v>
                </c:pt>
                <c:pt idx="10">
                  <c:v>-1.4025974025974026</c:v>
                </c:pt>
                <c:pt idx="11">
                  <c:v>-1.4348571428571426</c:v>
                </c:pt>
                <c:pt idx="12">
                  <c:v>-1.4362597402597408</c:v>
                </c:pt>
                <c:pt idx="13">
                  <c:v>-1.4039999999999995</c:v>
                </c:pt>
                <c:pt idx="14">
                  <c:v>-1.3352727272727269</c:v>
                </c:pt>
                <c:pt idx="15">
                  <c:v>-1.2272727272727273</c:v>
                </c:pt>
                <c:pt idx="16">
                  <c:v>-1.0771948051948053</c:v>
                </c:pt>
                <c:pt idx="17">
                  <c:v>-0.88223376623376493</c:v>
                </c:pt>
                <c:pt idx="18">
                  <c:v>-0.63958441558441448</c:v>
                </c:pt>
                <c:pt idx="19">
                  <c:v>-0.34644155844155794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A34-4B57-A9C1-311C627A39A9}"/>
            </c:ext>
          </c:extLst>
        </c:ser>
        <c:ser>
          <c:idx val="0"/>
          <c:order val="1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vypocet!$N$26:$N$66</c:f>
              <c:numCache>
                <c:formatCode>0.00</c:formatCode>
                <c:ptCount val="41"/>
                <c:pt idx="0">
                  <c:v>18</c:v>
                </c:pt>
                <c:pt idx="1">
                  <c:v>19.5</c:v>
                </c:pt>
                <c:pt idx="2">
                  <c:v>21</c:v>
                </c:pt>
                <c:pt idx="3">
                  <c:v>22.5</c:v>
                </c:pt>
                <c:pt idx="4">
                  <c:v>24</c:v>
                </c:pt>
                <c:pt idx="5">
                  <c:v>25.5</c:v>
                </c:pt>
                <c:pt idx="6">
                  <c:v>27</c:v>
                </c:pt>
                <c:pt idx="7">
                  <c:v>28.5</c:v>
                </c:pt>
                <c:pt idx="8">
                  <c:v>30</c:v>
                </c:pt>
                <c:pt idx="9">
                  <c:v>31.5</c:v>
                </c:pt>
                <c:pt idx="10">
                  <c:v>33</c:v>
                </c:pt>
                <c:pt idx="11">
                  <c:v>34.5</c:v>
                </c:pt>
                <c:pt idx="12">
                  <c:v>36</c:v>
                </c:pt>
                <c:pt idx="13">
                  <c:v>37.5</c:v>
                </c:pt>
                <c:pt idx="14">
                  <c:v>39</c:v>
                </c:pt>
                <c:pt idx="15">
                  <c:v>40.5</c:v>
                </c:pt>
                <c:pt idx="16">
                  <c:v>42</c:v>
                </c:pt>
                <c:pt idx="17">
                  <c:v>43.5</c:v>
                </c:pt>
                <c:pt idx="18">
                  <c:v>45</c:v>
                </c:pt>
                <c:pt idx="19">
                  <c:v>46.5</c:v>
                </c:pt>
                <c:pt idx="20">
                  <c:v>48</c:v>
                </c:pt>
                <c:pt idx="21">
                  <c:v>48.9</c:v>
                </c:pt>
                <c:pt idx="22">
                  <c:v>49.8</c:v>
                </c:pt>
                <c:pt idx="23">
                  <c:v>50.699999999999996</c:v>
                </c:pt>
                <c:pt idx="24">
                  <c:v>51.599999999999994</c:v>
                </c:pt>
                <c:pt idx="25">
                  <c:v>52.499999999999993</c:v>
                </c:pt>
                <c:pt idx="26">
                  <c:v>53.399999999999991</c:v>
                </c:pt>
                <c:pt idx="27">
                  <c:v>54.29999999999999</c:v>
                </c:pt>
                <c:pt idx="28">
                  <c:v>55.199999999999989</c:v>
                </c:pt>
                <c:pt idx="29">
                  <c:v>56.099999999999987</c:v>
                </c:pt>
                <c:pt idx="30">
                  <c:v>56.999999999999986</c:v>
                </c:pt>
                <c:pt idx="31">
                  <c:v>57.899999999999984</c:v>
                </c:pt>
                <c:pt idx="32">
                  <c:v>58.799999999999983</c:v>
                </c:pt>
                <c:pt idx="33">
                  <c:v>59.699999999999982</c:v>
                </c:pt>
                <c:pt idx="34">
                  <c:v>60.59999999999998</c:v>
                </c:pt>
                <c:pt idx="35">
                  <c:v>61.499999999999979</c:v>
                </c:pt>
                <c:pt idx="36">
                  <c:v>62.399999999999977</c:v>
                </c:pt>
                <c:pt idx="37">
                  <c:v>63.299999999999976</c:v>
                </c:pt>
                <c:pt idx="38">
                  <c:v>64.199999999999974</c:v>
                </c:pt>
                <c:pt idx="39">
                  <c:v>65.09999999999998</c:v>
                </c:pt>
                <c:pt idx="40">
                  <c:v>65.999999999999986</c:v>
                </c:pt>
              </c:numCache>
            </c:numRef>
          </c:xVal>
          <c:yVal>
            <c:numRef>
              <c:f>vypocet!$S$26:$S$66</c:f>
              <c:numCache>
                <c:formatCode>0.000</c:formatCode>
                <c:ptCount val="41"/>
                <c:pt idx="0">
                  <c:v>0</c:v>
                </c:pt>
                <c:pt idx="1">
                  <c:v>-0.80040584415584415</c:v>
                </c:pt>
                <c:pt idx="2">
                  <c:v>-1.4551948051948056</c:v>
                </c:pt>
                <c:pt idx="3">
                  <c:v>-1.9745941558441555</c:v>
                </c:pt>
                <c:pt idx="4">
                  <c:v>-2.3688311688311692</c:v>
                </c:pt>
                <c:pt idx="5">
                  <c:v>-2.648133116883117</c:v>
                </c:pt>
                <c:pt idx="6">
                  <c:v>-2.8227272727272723</c:v>
                </c:pt>
                <c:pt idx="7">
                  <c:v>-2.9028409090909091</c:v>
                </c:pt>
                <c:pt idx="8">
                  <c:v>-2.8987012987012983</c:v>
                </c:pt>
                <c:pt idx="9">
                  <c:v>-2.820535714285715</c:v>
                </c:pt>
                <c:pt idx="10">
                  <c:v>-2.6785714285714288</c:v>
                </c:pt>
                <c:pt idx="11">
                  <c:v>-2.4830357142857138</c:v>
                </c:pt>
                <c:pt idx="12">
                  <c:v>-2.244155844155844</c:v>
                </c:pt>
                <c:pt idx="13">
                  <c:v>-1.9721590909090907</c:v>
                </c:pt>
                <c:pt idx="14">
                  <c:v>-1.6772727272727272</c:v>
                </c:pt>
                <c:pt idx="15">
                  <c:v>-1.3697240259740258</c:v>
                </c:pt>
                <c:pt idx="16">
                  <c:v>-1.0597402597402594</c:v>
                </c:pt>
                <c:pt idx="17">
                  <c:v>-0.75754870129870133</c:v>
                </c:pt>
                <c:pt idx="18">
                  <c:v>-0.47337662337662323</c:v>
                </c:pt>
                <c:pt idx="19">
                  <c:v>-0.2174512987012989</c:v>
                </c:pt>
                <c:pt idx="20">
                  <c:v>0</c:v>
                </c:pt>
                <c:pt idx="21">
                  <c:v>0.10826298701298682</c:v>
                </c:pt>
                <c:pt idx="22">
                  <c:v>0.19987012987012956</c:v>
                </c:pt>
                <c:pt idx="23">
                  <c:v>0.27569805194805158</c:v>
                </c:pt>
                <c:pt idx="24">
                  <c:v>0.33662337662337621</c:v>
                </c:pt>
                <c:pt idx="25">
                  <c:v>0.38352272727272696</c:v>
                </c:pt>
                <c:pt idx="26">
                  <c:v>0.41727272727272691</c:v>
                </c:pt>
                <c:pt idx="27">
                  <c:v>0.43874999999999981</c:v>
                </c:pt>
                <c:pt idx="28">
                  <c:v>0.44883116883116869</c:v>
                </c:pt>
                <c:pt idx="29">
                  <c:v>0.44839285714285726</c:v>
                </c:pt>
                <c:pt idx="30">
                  <c:v>0.43831168831168849</c:v>
                </c:pt>
                <c:pt idx="31">
                  <c:v>0.41946428571428607</c:v>
                </c:pt>
                <c:pt idx="32">
                  <c:v>0.39272727272727315</c:v>
                </c:pt>
                <c:pt idx="33">
                  <c:v>0.35897727272727337</c:v>
                </c:pt>
                <c:pt idx="34">
                  <c:v>0.31909090909091009</c:v>
                </c:pt>
                <c:pt idx="35">
                  <c:v>0.2739448051948063</c:v>
                </c:pt>
                <c:pt idx="36">
                  <c:v>0.22441558441558573</c:v>
                </c:pt>
                <c:pt idx="37">
                  <c:v>0.17137987012987158</c:v>
                </c:pt>
                <c:pt idx="38">
                  <c:v>0.11571428571428732</c:v>
                </c:pt>
                <c:pt idx="39">
                  <c:v>5.8295454545455878E-2</c:v>
                </c:pt>
                <c:pt idx="40">
                  <c:v>9.0836429287512806E-16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A34-4B57-A9C1-311C627A39A9}"/>
            </c:ext>
          </c:extLst>
        </c:ser>
        <c:ser>
          <c:idx val="1"/>
          <c:order val="2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vypocet!$R$67:$R$68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vypocet!$S$67:$S$68</c:f>
              <c:numCache>
                <c:formatCode>0.000</c:formatCode>
                <c:ptCount val="2"/>
                <c:pt idx="0">
                  <c:v>-2.9028409090909091</c:v>
                </c:pt>
                <c:pt idx="1">
                  <c:v>0.94883116883116869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A34-4B57-A9C1-311C627A39A9}"/>
            </c:ext>
          </c:extLst>
        </c:ser>
        <c:ser>
          <c:idx val="3"/>
          <c:order val="3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vypocet!$R$69:$R$70</c:f>
              <c:numCache>
                <c:formatCode>General</c:formatCode>
                <c:ptCount val="2"/>
                <c:pt idx="0">
                  <c:v>18</c:v>
                </c:pt>
                <c:pt idx="1">
                  <c:v>18</c:v>
                </c:pt>
              </c:numCache>
            </c:numRef>
          </c:xVal>
          <c:yVal>
            <c:numRef>
              <c:f>vypocet!$S$69:$S$70</c:f>
              <c:numCache>
                <c:formatCode>General</c:formatCode>
                <c:ptCount val="2"/>
                <c:pt idx="0">
                  <c:v>-2.9028409090909091</c:v>
                </c:pt>
                <c:pt idx="1">
                  <c:v>0.94883116883116869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A34-4B57-A9C1-311C627A39A9}"/>
            </c:ext>
          </c:extLst>
        </c:ser>
        <c:ser>
          <c:idx val="4"/>
          <c:order val="4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vypocet!$R$71:$R$72</c:f>
              <c:numCache>
                <c:formatCode>General</c:formatCode>
                <c:ptCount val="2"/>
                <c:pt idx="0">
                  <c:v>48</c:v>
                </c:pt>
                <c:pt idx="1">
                  <c:v>48</c:v>
                </c:pt>
              </c:numCache>
            </c:numRef>
          </c:xVal>
          <c:yVal>
            <c:numRef>
              <c:f>vypocet!$S$71:$S$72</c:f>
              <c:numCache>
                <c:formatCode>General</c:formatCode>
                <c:ptCount val="2"/>
                <c:pt idx="0">
                  <c:v>-2.9028409090909091</c:v>
                </c:pt>
                <c:pt idx="1">
                  <c:v>0.94883116883116869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A34-4B57-A9C1-311C627A39A9}"/>
            </c:ext>
          </c:extLst>
        </c:ser>
        <c:ser>
          <c:idx val="5"/>
          <c:order val="5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vypocet!$R$73:$R$74</c:f>
              <c:numCache>
                <c:formatCode>General</c:formatCode>
                <c:ptCount val="2"/>
                <c:pt idx="0">
                  <c:v>66</c:v>
                </c:pt>
                <c:pt idx="1">
                  <c:v>66</c:v>
                </c:pt>
              </c:numCache>
            </c:numRef>
          </c:xVal>
          <c:yVal>
            <c:numRef>
              <c:f>vypocet!$S$73:$S$74</c:f>
              <c:numCache>
                <c:formatCode>General</c:formatCode>
                <c:ptCount val="2"/>
                <c:pt idx="0">
                  <c:v>-2.9028409090909091</c:v>
                </c:pt>
                <c:pt idx="1">
                  <c:v>0.94883116883116869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A34-4B57-A9C1-311C627A3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4831343"/>
        <c:axId val="1"/>
      </c:scatterChart>
      <c:valAx>
        <c:axId val="1934831343"/>
        <c:scaling>
          <c:orientation val="minMax"/>
        </c:scaling>
        <c:delete val="0"/>
        <c:axPos val="t"/>
        <c:numFmt formatCode="0.0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axMin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34831343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513292560495806E-2"/>
          <c:y val="6.1172125103201275E-2"/>
          <c:w val="0.92361188624822244"/>
          <c:h val="0.88300632757664432"/>
        </c:manualLayout>
      </c:layout>
      <c:scatterChart>
        <c:scatterStyle val="smoothMarker"/>
        <c:varyColors val="0"/>
        <c:ser>
          <c:idx val="2"/>
          <c:order val="0"/>
          <c:tx>
            <c:v>Mba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vypocet!$N$6:$N$36</c:f>
              <c:numCache>
                <c:formatCode>0.00</c:formatCode>
                <c:ptCount val="3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6.3000000000000007</c:v>
                </c:pt>
                <c:pt idx="8">
                  <c:v>7.2000000000000011</c:v>
                </c:pt>
                <c:pt idx="9">
                  <c:v>8.1000000000000014</c:v>
                </c:pt>
                <c:pt idx="10">
                  <c:v>9.0000000000000018</c:v>
                </c:pt>
                <c:pt idx="11">
                  <c:v>9.9000000000000021</c:v>
                </c:pt>
                <c:pt idx="12">
                  <c:v>10.800000000000002</c:v>
                </c:pt>
                <c:pt idx="13">
                  <c:v>11.700000000000003</c:v>
                </c:pt>
                <c:pt idx="14">
                  <c:v>12.600000000000003</c:v>
                </c:pt>
                <c:pt idx="15">
                  <c:v>13.500000000000004</c:v>
                </c:pt>
                <c:pt idx="16">
                  <c:v>14.400000000000004</c:v>
                </c:pt>
                <c:pt idx="17">
                  <c:v>15.300000000000004</c:v>
                </c:pt>
                <c:pt idx="18">
                  <c:v>16.200000000000003</c:v>
                </c:pt>
                <c:pt idx="19">
                  <c:v>17.100000000000001</c:v>
                </c:pt>
                <c:pt idx="20">
                  <c:v>18</c:v>
                </c:pt>
                <c:pt idx="21">
                  <c:v>19.5</c:v>
                </c:pt>
                <c:pt idx="22">
                  <c:v>21</c:v>
                </c:pt>
                <c:pt idx="23">
                  <c:v>22.5</c:v>
                </c:pt>
                <c:pt idx="24">
                  <c:v>24</c:v>
                </c:pt>
                <c:pt idx="25">
                  <c:v>25.5</c:v>
                </c:pt>
                <c:pt idx="26">
                  <c:v>27</c:v>
                </c:pt>
                <c:pt idx="27">
                  <c:v>28.5</c:v>
                </c:pt>
                <c:pt idx="28">
                  <c:v>30</c:v>
                </c:pt>
                <c:pt idx="29">
                  <c:v>31.5</c:v>
                </c:pt>
                <c:pt idx="30">
                  <c:v>33</c:v>
                </c:pt>
              </c:numCache>
            </c:numRef>
          </c:xVal>
          <c:yVal>
            <c:numRef>
              <c:f>vypocet!$W$6:$W$36</c:f>
              <c:numCache>
                <c:formatCode>0.00</c:formatCode>
                <c:ptCount val="31"/>
                <c:pt idx="0">
                  <c:v>0</c:v>
                </c:pt>
                <c:pt idx="1">
                  <c:v>-6.4125000000000001E-2</c:v>
                </c:pt>
                <c:pt idx="2">
                  <c:v>-0.12728571428571431</c:v>
                </c:pt>
                <c:pt idx="3">
                  <c:v>-0.18851785714285707</c:v>
                </c:pt>
                <c:pt idx="4">
                  <c:v>-0.24685714285714286</c:v>
                </c:pt>
                <c:pt idx="5">
                  <c:v>-0.3013392857142857</c:v>
                </c:pt>
                <c:pt idx="6">
                  <c:v>-0.35100000000000009</c:v>
                </c:pt>
                <c:pt idx="7">
                  <c:v>-0.39487499999999998</c:v>
                </c:pt>
                <c:pt idx="8">
                  <c:v>-0.43200000000000005</c:v>
                </c:pt>
                <c:pt idx="9">
                  <c:v>-0.46141071428571434</c:v>
                </c:pt>
                <c:pt idx="10">
                  <c:v>-0.4821428571428571</c:v>
                </c:pt>
                <c:pt idx="11">
                  <c:v>-0.4932321428571429</c:v>
                </c:pt>
                <c:pt idx="12">
                  <c:v>-0.49371428571428577</c:v>
                </c:pt>
                <c:pt idx="13">
                  <c:v>-0.48262499999999997</c:v>
                </c:pt>
                <c:pt idx="14">
                  <c:v>-0.45899999999999985</c:v>
                </c:pt>
                <c:pt idx="15">
                  <c:v>-0.42187499999999978</c:v>
                </c:pt>
                <c:pt idx="16">
                  <c:v>-0.370285714285714</c:v>
                </c:pt>
                <c:pt idx="17">
                  <c:v>-0.30326785714285681</c:v>
                </c:pt>
                <c:pt idx="18">
                  <c:v>-0.21985714285714261</c:v>
                </c:pt>
                <c:pt idx="19">
                  <c:v>-0.11908928571428556</c:v>
                </c:pt>
                <c:pt idx="20">
                  <c:v>0</c:v>
                </c:pt>
                <c:pt idx="21">
                  <c:v>0.2410714285714286</c:v>
                </c:pt>
                <c:pt idx="22">
                  <c:v>0.5357142857142857</c:v>
                </c:pt>
                <c:pt idx="23">
                  <c:v>0.8839285714285714</c:v>
                </c:pt>
                <c:pt idx="24">
                  <c:v>1.285714285714286</c:v>
                </c:pt>
                <c:pt idx="25">
                  <c:v>1.7410714285714284</c:v>
                </c:pt>
                <c:pt idx="26">
                  <c:v>2.25</c:v>
                </c:pt>
                <c:pt idx="27">
                  <c:v>2.8125</c:v>
                </c:pt>
                <c:pt idx="28">
                  <c:v>3.4285714285714284</c:v>
                </c:pt>
                <c:pt idx="29">
                  <c:v>4.0982142857142856</c:v>
                </c:pt>
                <c:pt idx="30">
                  <c:v>4.8214285714285712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86D-440E-8FBE-BBD23E5CEDA6}"/>
            </c:ext>
          </c:extLst>
        </c:ser>
        <c:ser>
          <c:idx val="0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vypocet!$N$36:$N$66</c:f>
              <c:numCache>
                <c:formatCode>0.00</c:formatCode>
                <c:ptCount val="31"/>
                <c:pt idx="0">
                  <c:v>33</c:v>
                </c:pt>
                <c:pt idx="1">
                  <c:v>34.5</c:v>
                </c:pt>
                <c:pt idx="2">
                  <c:v>36</c:v>
                </c:pt>
                <c:pt idx="3">
                  <c:v>37.5</c:v>
                </c:pt>
                <c:pt idx="4">
                  <c:v>39</c:v>
                </c:pt>
                <c:pt idx="5">
                  <c:v>40.5</c:v>
                </c:pt>
                <c:pt idx="6">
                  <c:v>42</c:v>
                </c:pt>
                <c:pt idx="7">
                  <c:v>43.5</c:v>
                </c:pt>
                <c:pt idx="8">
                  <c:v>45</c:v>
                </c:pt>
                <c:pt idx="9">
                  <c:v>46.5</c:v>
                </c:pt>
                <c:pt idx="10">
                  <c:v>48</c:v>
                </c:pt>
                <c:pt idx="11">
                  <c:v>48.9</c:v>
                </c:pt>
                <c:pt idx="12">
                  <c:v>49.8</c:v>
                </c:pt>
                <c:pt idx="13">
                  <c:v>50.699999999999996</c:v>
                </c:pt>
                <c:pt idx="14">
                  <c:v>51.599999999999994</c:v>
                </c:pt>
                <c:pt idx="15">
                  <c:v>52.499999999999993</c:v>
                </c:pt>
                <c:pt idx="16">
                  <c:v>53.399999999999991</c:v>
                </c:pt>
                <c:pt idx="17">
                  <c:v>54.29999999999999</c:v>
                </c:pt>
                <c:pt idx="18">
                  <c:v>55.199999999999989</c:v>
                </c:pt>
                <c:pt idx="19">
                  <c:v>56.099999999999987</c:v>
                </c:pt>
                <c:pt idx="20">
                  <c:v>56.999999999999986</c:v>
                </c:pt>
                <c:pt idx="21">
                  <c:v>57.899999999999984</c:v>
                </c:pt>
                <c:pt idx="22">
                  <c:v>58.799999999999983</c:v>
                </c:pt>
                <c:pt idx="23">
                  <c:v>59.699999999999982</c:v>
                </c:pt>
                <c:pt idx="24">
                  <c:v>60.59999999999998</c:v>
                </c:pt>
                <c:pt idx="25">
                  <c:v>61.499999999999979</c:v>
                </c:pt>
                <c:pt idx="26">
                  <c:v>62.399999999999977</c:v>
                </c:pt>
                <c:pt idx="27">
                  <c:v>63.299999999999976</c:v>
                </c:pt>
                <c:pt idx="28">
                  <c:v>64.199999999999974</c:v>
                </c:pt>
                <c:pt idx="29">
                  <c:v>65.09999999999998</c:v>
                </c:pt>
                <c:pt idx="30">
                  <c:v>65.999999999999986</c:v>
                </c:pt>
              </c:numCache>
            </c:numRef>
          </c:xVal>
          <c:yVal>
            <c:numRef>
              <c:f>vypocet!$W$36:$W$66</c:f>
              <c:numCache>
                <c:formatCode>0.00</c:formatCode>
                <c:ptCount val="31"/>
                <c:pt idx="0">
                  <c:v>4.8214285714285712</c:v>
                </c:pt>
                <c:pt idx="1">
                  <c:v>4.0982142857142856</c:v>
                </c:pt>
                <c:pt idx="2">
                  <c:v>3.4285714285714279</c:v>
                </c:pt>
                <c:pt idx="3">
                  <c:v>2.8124999999999996</c:v>
                </c:pt>
                <c:pt idx="4">
                  <c:v>2.25</c:v>
                </c:pt>
                <c:pt idx="5">
                  <c:v>1.7410714285714284</c:v>
                </c:pt>
                <c:pt idx="6">
                  <c:v>1.2857142857142856</c:v>
                </c:pt>
                <c:pt idx="7">
                  <c:v>0.88392857142857129</c:v>
                </c:pt>
                <c:pt idx="8">
                  <c:v>0.53571428571428559</c:v>
                </c:pt>
                <c:pt idx="9">
                  <c:v>0.24107142857142871</c:v>
                </c:pt>
                <c:pt idx="10">
                  <c:v>0</c:v>
                </c:pt>
                <c:pt idx="11">
                  <c:v>-0.11908928571428554</c:v>
                </c:pt>
                <c:pt idx="12">
                  <c:v>-0.21985714285714258</c:v>
                </c:pt>
                <c:pt idx="13">
                  <c:v>-0.30326785714285676</c:v>
                </c:pt>
                <c:pt idx="14">
                  <c:v>-0.37028571428571389</c:v>
                </c:pt>
                <c:pt idx="15">
                  <c:v>-0.42187499999999967</c:v>
                </c:pt>
                <c:pt idx="16">
                  <c:v>-0.45899999999999963</c:v>
                </c:pt>
                <c:pt idx="17">
                  <c:v>-0.4826249999999998</c:v>
                </c:pt>
                <c:pt idx="18">
                  <c:v>-0.49371428571428566</c:v>
                </c:pt>
                <c:pt idx="19">
                  <c:v>-0.49323214285714301</c:v>
                </c:pt>
                <c:pt idx="20">
                  <c:v>-0.48214285714285743</c:v>
                </c:pt>
                <c:pt idx="21">
                  <c:v>-0.46141071428571467</c:v>
                </c:pt>
                <c:pt idx="22">
                  <c:v>-0.43200000000000049</c:v>
                </c:pt>
                <c:pt idx="23">
                  <c:v>-0.39487500000000075</c:v>
                </c:pt>
                <c:pt idx="24">
                  <c:v>-0.35100000000000114</c:v>
                </c:pt>
                <c:pt idx="25">
                  <c:v>-0.30133928571428703</c:v>
                </c:pt>
                <c:pt idx="26">
                  <c:v>-0.24685714285714433</c:v>
                </c:pt>
                <c:pt idx="27">
                  <c:v>-0.18851785714285874</c:v>
                </c:pt>
                <c:pt idx="28">
                  <c:v>-0.12728571428571606</c:v>
                </c:pt>
                <c:pt idx="29">
                  <c:v>-6.4125000000001486E-2</c:v>
                </c:pt>
                <c:pt idx="30">
                  <c:v>-9.9920072216264089E-16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86D-440E-8FBE-BBD23E5CEDA6}"/>
            </c:ext>
          </c:extLst>
        </c:ser>
        <c:ser>
          <c:idx val="1"/>
          <c:order val="2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vypocet!$V$67:$V$68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vypocet!$W$67:$W$68</c:f>
              <c:numCache>
                <c:formatCode>0.000</c:formatCode>
                <c:ptCount val="2"/>
                <c:pt idx="0">
                  <c:v>-0.49371428571428577</c:v>
                </c:pt>
                <c:pt idx="1">
                  <c:v>4.8214285714285712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86D-440E-8FBE-BBD23E5CEDA6}"/>
            </c:ext>
          </c:extLst>
        </c:ser>
        <c:ser>
          <c:idx val="3"/>
          <c:order val="3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vypocet!$V$69:$V$70</c:f>
              <c:numCache>
                <c:formatCode>General</c:formatCode>
                <c:ptCount val="2"/>
                <c:pt idx="0">
                  <c:v>18</c:v>
                </c:pt>
                <c:pt idx="1">
                  <c:v>18</c:v>
                </c:pt>
              </c:numCache>
            </c:numRef>
          </c:xVal>
          <c:yVal>
            <c:numRef>
              <c:f>vypocet!$W$69:$W$70</c:f>
              <c:numCache>
                <c:formatCode>General</c:formatCode>
                <c:ptCount val="2"/>
                <c:pt idx="0">
                  <c:v>-0.49371428571428577</c:v>
                </c:pt>
                <c:pt idx="1">
                  <c:v>4.8214285714285712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86D-440E-8FBE-BBD23E5CEDA6}"/>
            </c:ext>
          </c:extLst>
        </c:ser>
        <c:ser>
          <c:idx val="4"/>
          <c:order val="4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vypocet!$V$71:$V$72</c:f>
              <c:numCache>
                <c:formatCode>General</c:formatCode>
                <c:ptCount val="2"/>
                <c:pt idx="0">
                  <c:v>48</c:v>
                </c:pt>
                <c:pt idx="1">
                  <c:v>48</c:v>
                </c:pt>
              </c:numCache>
            </c:numRef>
          </c:xVal>
          <c:yVal>
            <c:numRef>
              <c:f>vypocet!$W$71:$W$72</c:f>
              <c:numCache>
                <c:formatCode>General</c:formatCode>
                <c:ptCount val="2"/>
                <c:pt idx="0">
                  <c:v>-0.49371428571428577</c:v>
                </c:pt>
                <c:pt idx="1">
                  <c:v>4.8214285714285712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86D-440E-8FBE-BBD23E5CEDA6}"/>
            </c:ext>
          </c:extLst>
        </c:ser>
        <c:ser>
          <c:idx val="5"/>
          <c:order val="5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vypocet!$V$73:$V$74</c:f>
              <c:numCache>
                <c:formatCode>General</c:formatCode>
                <c:ptCount val="2"/>
                <c:pt idx="0">
                  <c:v>66</c:v>
                </c:pt>
                <c:pt idx="1">
                  <c:v>66</c:v>
                </c:pt>
              </c:numCache>
            </c:numRef>
          </c:xVal>
          <c:yVal>
            <c:numRef>
              <c:f>vypocet!$W$73:$W$74</c:f>
              <c:numCache>
                <c:formatCode>General</c:formatCode>
                <c:ptCount val="2"/>
                <c:pt idx="0">
                  <c:v>-0.49371428571428577</c:v>
                </c:pt>
                <c:pt idx="1">
                  <c:v>4.8214285714285712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86D-440E-8FBE-BBD23E5CE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4824687"/>
        <c:axId val="1"/>
      </c:scatterChart>
      <c:valAx>
        <c:axId val="1934824687"/>
        <c:scaling>
          <c:orientation val="minMax"/>
        </c:scaling>
        <c:delete val="0"/>
        <c:axPos val="t"/>
        <c:numFmt formatCode="0.0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axMin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34824687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768149894296714E-2"/>
          <c:y val="6.3975122612425744E-2"/>
          <c:w val="0.93133794946693871"/>
          <c:h val="0.82157525881220417"/>
        </c:manualLayout>
      </c:layout>
      <c:scatterChart>
        <c:scatterStyle val="smoothMarker"/>
        <c:varyColors val="0"/>
        <c:ser>
          <c:idx val="2"/>
          <c:order val="0"/>
          <c:tx>
            <c:v>Mba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vypocet!$N$6:$N$66</c:f>
              <c:numCache>
                <c:formatCode>0.00</c:formatCode>
                <c:ptCount val="6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6.3000000000000007</c:v>
                </c:pt>
                <c:pt idx="8">
                  <c:v>7.2000000000000011</c:v>
                </c:pt>
                <c:pt idx="9">
                  <c:v>8.1000000000000014</c:v>
                </c:pt>
                <c:pt idx="10">
                  <c:v>9.0000000000000018</c:v>
                </c:pt>
                <c:pt idx="11">
                  <c:v>9.9000000000000021</c:v>
                </c:pt>
                <c:pt idx="12">
                  <c:v>10.800000000000002</c:v>
                </c:pt>
                <c:pt idx="13">
                  <c:v>11.700000000000003</c:v>
                </c:pt>
                <c:pt idx="14">
                  <c:v>12.600000000000003</c:v>
                </c:pt>
                <c:pt idx="15">
                  <c:v>13.500000000000004</c:v>
                </c:pt>
                <c:pt idx="16">
                  <c:v>14.400000000000004</c:v>
                </c:pt>
                <c:pt idx="17">
                  <c:v>15.300000000000004</c:v>
                </c:pt>
                <c:pt idx="18">
                  <c:v>16.200000000000003</c:v>
                </c:pt>
                <c:pt idx="19">
                  <c:v>17.100000000000001</c:v>
                </c:pt>
                <c:pt idx="20">
                  <c:v>18</c:v>
                </c:pt>
                <c:pt idx="21">
                  <c:v>19.5</c:v>
                </c:pt>
                <c:pt idx="22">
                  <c:v>21</c:v>
                </c:pt>
                <c:pt idx="23">
                  <c:v>22.5</c:v>
                </c:pt>
                <c:pt idx="24">
                  <c:v>24</c:v>
                </c:pt>
                <c:pt idx="25">
                  <c:v>25.5</c:v>
                </c:pt>
                <c:pt idx="26">
                  <c:v>27</c:v>
                </c:pt>
                <c:pt idx="27">
                  <c:v>28.5</c:v>
                </c:pt>
                <c:pt idx="28">
                  <c:v>30</c:v>
                </c:pt>
                <c:pt idx="29">
                  <c:v>31.5</c:v>
                </c:pt>
                <c:pt idx="30">
                  <c:v>33</c:v>
                </c:pt>
                <c:pt idx="31">
                  <c:v>34.5</c:v>
                </c:pt>
                <c:pt idx="32">
                  <c:v>36</c:v>
                </c:pt>
                <c:pt idx="33">
                  <c:v>37.5</c:v>
                </c:pt>
                <c:pt idx="34">
                  <c:v>39</c:v>
                </c:pt>
                <c:pt idx="35">
                  <c:v>40.5</c:v>
                </c:pt>
                <c:pt idx="36">
                  <c:v>42</c:v>
                </c:pt>
                <c:pt idx="37">
                  <c:v>43.5</c:v>
                </c:pt>
                <c:pt idx="38">
                  <c:v>45</c:v>
                </c:pt>
                <c:pt idx="39">
                  <c:v>46.5</c:v>
                </c:pt>
                <c:pt idx="40">
                  <c:v>48</c:v>
                </c:pt>
                <c:pt idx="41">
                  <c:v>48.9</c:v>
                </c:pt>
                <c:pt idx="42">
                  <c:v>49.8</c:v>
                </c:pt>
                <c:pt idx="43">
                  <c:v>50.699999999999996</c:v>
                </c:pt>
                <c:pt idx="44">
                  <c:v>51.599999999999994</c:v>
                </c:pt>
                <c:pt idx="45">
                  <c:v>52.499999999999993</c:v>
                </c:pt>
                <c:pt idx="46">
                  <c:v>53.399999999999991</c:v>
                </c:pt>
                <c:pt idx="47">
                  <c:v>54.29999999999999</c:v>
                </c:pt>
                <c:pt idx="48">
                  <c:v>55.199999999999989</c:v>
                </c:pt>
                <c:pt idx="49">
                  <c:v>56.099999999999987</c:v>
                </c:pt>
                <c:pt idx="50">
                  <c:v>56.999999999999986</c:v>
                </c:pt>
                <c:pt idx="51">
                  <c:v>57.899999999999984</c:v>
                </c:pt>
                <c:pt idx="52">
                  <c:v>58.799999999999983</c:v>
                </c:pt>
                <c:pt idx="53">
                  <c:v>59.699999999999982</c:v>
                </c:pt>
                <c:pt idx="54">
                  <c:v>60.59999999999998</c:v>
                </c:pt>
                <c:pt idx="55">
                  <c:v>61.499999999999979</c:v>
                </c:pt>
                <c:pt idx="56">
                  <c:v>62.399999999999977</c:v>
                </c:pt>
                <c:pt idx="57">
                  <c:v>63.299999999999976</c:v>
                </c:pt>
                <c:pt idx="58">
                  <c:v>64.199999999999974</c:v>
                </c:pt>
                <c:pt idx="59">
                  <c:v>65.09999999999998</c:v>
                </c:pt>
                <c:pt idx="60">
                  <c:v>65.999999999999986</c:v>
                </c:pt>
              </c:numCache>
            </c:numRef>
          </c:xVal>
          <c:yVal>
            <c:numRef>
              <c:f>vypocet!$AH$6:$AH$66</c:f>
              <c:numCache>
                <c:formatCode>0.000</c:formatCode>
                <c:ptCount val="61"/>
                <c:pt idx="0">
                  <c:v>1</c:v>
                </c:pt>
                <c:pt idx="1">
                  <c:v>0.93963636363636349</c:v>
                </c:pt>
                <c:pt idx="2">
                  <c:v>0.87942857142857134</c:v>
                </c:pt>
                <c:pt idx="3">
                  <c:v>0.81953246753246733</c:v>
                </c:pt>
                <c:pt idx="4">
                  <c:v>0.76010389610389595</c:v>
                </c:pt>
                <c:pt idx="5">
                  <c:v>0.70129870129870109</c:v>
                </c:pt>
                <c:pt idx="6">
                  <c:v>0.64327272727272711</c:v>
                </c:pt>
                <c:pt idx="7">
                  <c:v>0.5861818181818178</c:v>
                </c:pt>
                <c:pt idx="8">
                  <c:v>0.53018181818181775</c:v>
                </c:pt>
                <c:pt idx="9">
                  <c:v>0.47542857142857103</c:v>
                </c:pt>
                <c:pt idx="10">
                  <c:v>0.42207792207792172</c:v>
                </c:pt>
                <c:pt idx="11">
                  <c:v>0.37028571428571389</c:v>
                </c:pt>
                <c:pt idx="12">
                  <c:v>0.32020779220779183</c:v>
                </c:pt>
                <c:pt idx="13">
                  <c:v>0.27199999999999969</c:v>
                </c:pt>
                <c:pt idx="14">
                  <c:v>0.22581818181818147</c:v>
                </c:pt>
                <c:pt idx="15">
                  <c:v>0.18181818181818149</c:v>
                </c:pt>
                <c:pt idx="16">
                  <c:v>0.14015584415584381</c:v>
                </c:pt>
                <c:pt idx="17">
                  <c:v>0.10098701298701274</c:v>
                </c:pt>
                <c:pt idx="18">
                  <c:v>6.4467532467532229E-2</c:v>
                </c:pt>
                <c:pt idx="19">
                  <c:v>3.0753246753246463E-2</c:v>
                </c:pt>
                <c:pt idx="20">
                  <c:v>0</c:v>
                </c:pt>
                <c:pt idx="21">
                  <c:v>-4.4466991341991349E-2</c:v>
                </c:pt>
                <c:pt idx="22">
                  <c:v>-8.0844155844155871E-2</c:v>
                </c:pt>
                <c:pt idx="23">
                  <c:v>-0.10969967532467531</c:v>
                </c:pt>
                <c:pt idx="24">
                  <c:v>-0.13160173160173164</c:v>
                </c:pt>
                <c:pt idx="25">
                  <c:v>-0.1471185064935065</c:v>
                </c:pt>
                <c:pt idx="26">
                  <c:v>-0.1568181818181818</c:v>
                </c:pt>
                <c:pt idx="27">
                  <c:v>-0.16126893939393938</c:v>
                </c:pt>
                <c:pt idx="28">
                  <c:v>-0.16103896103896104</c:v>
                </c:pt>
                <c:pt idx="29">
                  <c:v>-0.15669642857142863</c:v>
                </c:pt>
                <c:pt idx="30">
                  <c:v>-0.14880952380952384</c:v>
                </c:pt>
                <c:pt idx="31">
                  <c:v>-0.13794642857142858</c:v>
                </c:pt>
                <c:pt idx="32">
                  <c:v>-0.12467532467532469</c:v>
                </c:pt>
                <c:pt idx="33">
                  <c:v>-0.10956439393939393</c:v>
                </c:pt>
                <c:pt idx="34">
                  <c:v>-9.3181818181818199E-2</c:v>
                </c:pt>
                <c:pt idx="35">
                  <c:v>-7.6095779220779203E-2</c:v>
                </c:pt>
                <c:pt idx="36">
                  <c:v>-5.8874458874458871E-2</c:v>
                </c:pt>
                <c:pt idx="37">
                  <c:v>-4.2086038961038963E-2</c:v>
                </c:pt>
                <c:pt idx="38">
                  <c:v>-2.629870129870129E-2</c:v>
                </c:pt>
                <c:pt idx="39">
                  <c:v>-1.2080627705627718E-2</c:v>
                </c:pt>
                <c:pt idx="40">
                  <c:v>0</c:v>
                </c:pt>
                <c:pt idx="41">
                  <c:v>6.0146103896103788E-3</c:v>
                </c:pt>
                <c:pt idx="42">
                  <c:v>1.1103896103896088E-2</c:v>
                </c:pt>
                <c:pt idx="43">
                  <c:v>1.5316558441558424E-2</c:v>
                </c:pt>
                <c:pt idx="44">
                  <c:v>1.8701298701298677E-2</c:v>
                </c:pt>
                <c:pt idx="45">
                  <c:v>2.1306818181818166E-2</c:v>
                </c:pt>
                <c:pt idx="46">
                  <c:v>2.3181818181818161E-2</c:v>
                </c:pt>
                <c:pt idx="47">
                  <c:v>2.4374999999999994E-2</c:v>
                </c:pt>
                <c:pt idx="48">
                  <c:v>2.4935064935064928E-2</c:v>
                </c:pt>
                <c:pt idx="49">
                  <c:v>2.4910714285714293E-2</c:v>
                </c:pt>
                <c:pt idx="50">
                  <c:v>2.4350649350649359E-2</c:v>
                </c:pt>
                <c:pt idx="51">
                  <c:v>2.3303571428571448E-2</c:v>
                </c:pt>
                <c:pt idx="52">
                  <c:v>2.1818181818181844E-2</c:v>
                </c:pt>
                <c:pt idx="53">
                  <c:v>1.9943181818181853E-2</c:v>
                </c:pt>
                <c:pt idx="54">
                  <c:v>1.7727272727272782E-2</c:v>
                </c:pt>
                <c:pt idx="55">
                  <c:v>1.5219155844155908E-2</c:v>
                </c:pt>
                <c:pt idx="56">
                  <c:v>1.246753246753254E-2</c:v>
                </c:pt>
                <c:pt idx="57">
                  <c:v>9.521103896103977E-3</c:v>
                </c:pt>
                <c:pt idx="58">
                  <c:v>6.4285714285715187E-3</c:v>
                </c:pt>
                <c:pt idx="59">
                  <c:v>3.2386363636364378E-3</c:v>
                </c:pt>
                <c:pt idx="60">
                  <c:v>5.0464682937507114E-17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A3F-4280-8EDB-7FC4947BFA19}"/>
            </c:ext>
          </c:extLst>
        </c:ser>
        <c:ser>
          <c:idx val="0"/>
          <c:order val="1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vypocet!$AG$68:$AG$69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vypocet!$AH$68:$AH$69</c:f>
              <c:numCache>
                <c:formatCode>0.000</c:formatCode>
                <c:ptCount val="2"/>
                <c:pt idx="0">
                  <c:v>-0.16126893939393938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A3F-4280-8EDB-7FC4947BFA19}"/>
            </c:ext>
          </c:extLst>
        </c:ser>
        <c:ser>
          <c:idx val="1"/>
          <c:order val="2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vypocet!$AG$70:$AG$71</c:f>
              <c:numCache>
                <c:formatCode>General</c:formatCode>
                <c:ptCount val="2"/>
                <c:pt idx="0">
                  <c:v>18</c:v>
                </c:pt>
                <c:pt idx="1">
                  <c:v>18</c:v>
                </c:pt>
              </c:numCache>
            </c:numRef>
          </c:xVal>
          <c:yVal>
            <c:numRef>
              <c:f>vypocet!$AH$70:$AH$71</c:f>
              <c:numCache>
                <c:formatCode>General</c:formatCode>
                <c:ptCount val="2"/>
                <c:pt idx="0">
                  <c:v>-0.16126893939393938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A3F-4280-8EDB-7FC4947BFA19}"/>
            </c:ext>
          </c:extLst>
        </c:ser>
        <c:ser>
          <c:idx val="3"/>
          <c:order val="3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vypocet!$AG$72:$AG$73</c:f>
              <c:numCache>
                <c:formatCode>General</c:formatCode>
                <c:ptCount val="2"/>
                <c:pt idx="0">
                  <c:v>48</c:v>
                </c:pt>
                <c:pt idx="1">
                  <c:v>48</c:v>
                </c:pt>
              </c:numCache>
            </c:numRef>
          </c:xVal>
          <c:yVal>
            <c:numRef>
              <c:f>vypocet!$AH$72:$AH$73</c:f>
              <c:numCache>
                <c:formatCode>General</c:formatCode>
                <c:ptCount val="2"/>
                <c:pt idx="0">
                  <c:v>-0.16126893939393938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A3F-4280-8EDB-7FC4947BFA19}"/>
            </c:ext>
          </c:extLst>
        </c:ser>
        <c:ser>
          <c:idx val="4"/>
          <c:order val="4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vypocet!$AG$74:$AG$75</c:f>
              <c:numCache>
                <c:formatCode>General</c:formatCode>
                <c:ptCount val="2"/>
                <c:pt idx="0">
                  <c:v>66</c:v>
                </c:pt>
                <c:pt idx="1">
                  <c:v>66</c:v>
                </c:pt>
              </c:numCache>
            </c:numRef>
          </c:xVal>
          <c:yVal>
            <c:numRef>
              <c:f>vypocet!$AH$74:$AH$75</c:f>
              <c:numCache>
                <c:formatCode>General</c:formatCode>
                <c:ptCount val="2"/>
                <c:pt idx="0">
                  <c:v>-0.16126893939393938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A3F-4280-8EDB-7FC4947BF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4837583"/>
        <c:axId val="1"/>
      </c:scatterChart>
      <c:valAx>
        <c:axId val="1934837583"/>
        <c:scaling>
          <c:orientation val="minMax"/>
        </c:scaling>
        <c:delete val="0"/>
        <c:axPos val="t"/>
        <c:numFmt formatCode="0.0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axMin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34837583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065009078970937E-2"/>
          <c:y val="7.8016765093921664E-2"/>
          <c:w val="0.92411339249525937"/>
          <c:h val="0.84754576624760369"/>
        </c:manualLayout>
      </c:layout>
      <c:scatterChart>
        <c:scatterStyle val="smoothMarker"/>
        <c:varyColors val="0"/>
        <c:ser>
          <c:idx val="2"/>
          <c:order val="0"/>
          <c:tx>
            <c:v>Mba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vypocet!$N$6:$N$26</c:f>
              <c:numCache>
                <c:formatCode>0.00</c:formatCode>
                <c:ptCount val="2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6.3000000000000007</c:v>
                </c:pt>
                <c:pt idx="8">
                  <c:v>7.2000000000000011</c:v>
                </c:pt>
                <c:pt idx="9">
                  <c:v>8.1000000000000014</c:v>
                </c:pt>
                <c:pt idx="10">
                  <c:v>9.0000000000000018</c:v>
                </c:pt>
                <c:pt idx="11">
                  <c:v>9.9000000000000021</c:v>
                </c:pt>
                <c:pt idx="12">
                  <c:v>10.800000000000002</c:v>
                </c:pt>
                <c:pt idx="13">
                  <c:v>11.700000000000003</c:v>
                </c:pt>
                <c:pt idx="14">
                  <c:v>12.600000000000003</c:v>
                </c:pt>
                <c:pt idx="15">
                  <c:v>13.500000000000004</c:v>
                </c:pt>
                <c:pt idx="16">
                  <c:v>14.400000000000004</c:v>
                </c:pt>
                <c:pt idx="17">
                  <c:v>15.300000000000004</c:v>
                </c:pt>
                <c:pt idx="18">
                  <c:v>16.200000000000003</c:v>
                </c:pt>
                <c:pt idx="19">
                  <c:v>17.100000000000001</c:v>
                </c:pt>
                <c:pt idx="20">
                  <c:v>18</c:v>
                </c:pt>
              </c:numCache>
            </c:numRef>
          </c:xVal>
          <c:yVal>
            <c:numRef>
              <c:f>vypocet!$AJ$6:$AJ$26</c:f>
              <c:numCache>
                <c:formatCode>0.000</c:formatCode>
                <c:ptCount val="21"/>
                <c:pt idx="0">
                  <c:v>0</c:v>
                </c:pt>
                <c:pt idx="1">
                  <c:v>-6.0363636363636369E-2</c:v>
                </c:pt>
                <c:pt idx="2">
                  <c:v>-0.12057142857142858</c:v>
                </c:pt>
                <c:pt idx="3">
                  <c:v>-0.1804675324675325</c:v>
                </c:pt>
                <c:pt idx="4">
                  <c:v>-0.23989610389610391</c:v>
                </c:pt>
                <c:pt idx="5">
                  <c:v>-0.29870129870129869</c:v>
                </c:pt>
                <c:pt idx="6">
                  <c:v>-0.35672727272727267</c:v>
                </c:pt>
                <c:pt idx="7">
                  <c:v>-0.41381818181818181</c:v>
                </c:pt>
                <c:pt idx="8">
                  <c:v>-0.4698181818181818</c:v>
                </c:pt>
                <c:pt idx="9">
                  <c:v>-0.52457142857142847</c:v>
                </c:pt>
                <c:pt idx="10">
                  <c:v>-0.57792207792207784</c:v>
                </c:pt>
                <c:pt idx="11">
                  <c:v>-0.62971428571428567</c:v>
                </c:pt>
                <c:pt idx="12">
                  <c:v>-0.67979220779220784</c:v>
                </c:pt>
                <c:pt idx="13">
                  <c:v>-0.72799999999999998</c:v>
                </c:pt>
                <c:pt idx="14">
                  <c:v>-0.77418181818181819</c:v>
                </c:pt>
                <c:pt idx="15">
                  <c:v>-0.81818181818181834</c:v>
                </c:pt>
                <c:pt idx="16">
                  <c:v>-0.85984415584415597</c:v>
                </c:pt>
                <c:pt idx="17">
                  <c:v>-0.89901298701298715</c:v>
                </c:pt>
                <c:pt idx="18">
                  <c:v>-0.93553246753246766</c:v>
                </c:pt>
                <c:pt idx="19">
                  <c:v>-0.96924675324675347</c:v>
                </c:pt>
                <c:pt idx="20">
                  <c:v>-1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94D-49D4-AAEB-BEA0D9D66E2E}"/>
            </c:ext>
          </c:extLst>
        </c:ser>
        <c:ser>
          <c:idx val="0"/>
          <c:order val="1"/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vypocet!$N$26:$N$66</c:f>
              <c:numCache>
                <c:formatCode>0.00</c:formatCode>
                <c:ptCount val="41"/>
                <c:pt idx="0">
                  <c:v>18</c:v>
                </c:pt>
                <c:pt idx="1">
                  <c:v>19.5</c:v>
                </c:pt>
                <c:pt idx="2">
                  <c:v>21</c:v>
                </c:pt>
                <c:pt idx="3">
                  <c:v>22.5</c:v>
                </c:pt>
                <c:pt idx="4">
                  <c:v>24</c:v>
                </c:pt>
                <c:pt idx="5">
                  <c:v>25.5</c:v>
                </c:pt>
                <c:pt idx="6">
                  <c:v>27</c:v>
                </c:pt>
                <c:pt idx="7">
                  <c:v>28.5</c:v>
                </c:pt>
                <c:pt idx="8">
                  <c:v>30</c:v>
                </c:pt>
                <c:pt idx="9">
                  <c:v>31.5</c:v>
                </c:pt>
                <c:pt idx="10">
                  <c:v>33</c:v>
                </c:pt>
                <c:pt idx="11">
                  <c:v>34.5</c:v>
                </c:pt>
                <c:pt idx="12">
                  <c:v>36</c:v>
                </c:pt>
                <c:pt idx="13">
                  <c:v>37.5</c:v>
                </c:pt>
                <c:pt idx="14">
                  <c:v>39</c:v>
                </c:pt>
                <c:pt idx="15">
                  <c:v>40.5</c:v>
                </c:pt>
                <c:pt idx="16">
                  <c:v>42</c:v>
                </c:pt>
                <c:pt idx="17">
                  <c:v>43.5</c:v>
                </c:pt>
                <c:pt idx="18">
                  <c:v>45</c:v>
                </c:pt>
                <c:pt idx="19">
                  <c:v>46.5</c:v>
                </c:pt>
                <c:pt idx="20">
                  <c:v>48</c:v>
                </c:pt>
                <c:pt idx="21">
                  <c:v>48.9</c:v>
                </c:pt>
                <c:pt idx="22">
                  <c:v>49.8</c:v>
                </c:pt>
                <c:pt idx="23">
                  <c:v>50.699999999999996</c:v>
                </c:pt>
                <c:pt idx="24">
                  <c:v>51.599999999999994</c:v>
                </c:pt>
                <c:pt idx="25">
                  <c:v>52.499999999999993</c:v>
                </c:pt>
                <c:pt idx="26">
                  <c:v>53.399999999999991</c:v>
                </c:pt>
                <c:pt idx="27">
                  <c:v>54.29999999999999</c:v>
                </c:pt>
                <c:pt idx="28">
                  <c:v>55.199999999999989</c:v>
                </c:pt>
                <c:pt idx="29">
                  <c:v>56.099999999999987</c:v>
                </c:pt>
                <c:pt idx="30">
                  <c:v>56.999999999999986</c:v>
                </c:pt>
                <c:pt idx="31">
                  <c:v>57.899999999999984</c:v>
                </c:pt>
                <c:pt idx="32">
                  <c:v>58.799999999999983</c:v>
                </c:pt>
                <c:pt idx="33">
                  <c:v>59.699999999999982</c:v>
                </c:pt>
                <c:pt idx="34">
                  <c:v>60.59999999999998</c:v>
                </c:pt>
                <c:pt idx="35">
                  <c:v>61.499999999999979</c:v>
                </c:pt>
                <c:pt idx="36">
                  <c:v>62.399999999999977</c:v>
                </c:pt>
                <c:pt idx="37">
                  <c:v>63.299999999999976</c:v>
                </c:pt>
                <c:pt idx="38">
                  <c:v>64.199999999999974</c:v>
                </c:pt>
                <c:pt idx="39">
                  <c:v>65.09999999999998</c:v>
                </c:pt>
                <c:pt idx="40">
                  <c:v>65.999999999999986</c:v>
                </c:pt>
              </c:numCache>
            </c:numRef>
          </c:xVal>
          <c:yVal>
            <c:numRef>
              <c:f>vypocet!$AK$26:$AK$66</c:f>
              <c:numCache>
                <c:formatCode>0.000</c:formatCode>
                <c:ptCount val="41"/>
                <c:pt idx="0" formatCode="0.00">
                  <c:v>0</c:v>
                </c:pt>
                <c:pt idx="1">
                  <c:v>-4.4466991341991342E-2</c:v>
                </c:pt>
                <c:pt idx="2">
                  <c:v>-8.0844155844155857E-2</c:v>
                </c:pt>
                <c:pt idx="3">
                  <c:v>-0.1096996753246753</c:v>
                </c:pt>
                <c:pt idx="4">
                  <c:v>-0.13160173160173164</c:v>
                </c:pt>
                <c:pt idx="5">
                  <c:v>-0.1471185064935065</c:v>
                </c:pt>
                <c:pt idx="6">
                  <c:v>-0.15681818181818177</c:v>
                </c:pt>
                <c:pt idx="7">
                  <c:v>-0.16126893939393938</c:v>
                </c:pt>
                <c:pt idx="8">
                  <c:v>-0.16103896103896104</c:v>
                </c:pt>
                <c:pt idx="9">
                  <c:v>-0.1566964285714286</c:v>
                </c:pt>
                <c:pt idx="10">
                  <c:v>-0.14880952380952381</c:v>
                </c:pt>
                <c:pt idx="11">
                  <c:v>-0.13794642857142855</c:v>
                </c:pt>
                <c:pt idx="12">
                  <c:v>-0.12467532467532469</c:v>
                </c:pt>
                <c:pt idx="13">
                  <c:v>-0.10956439393939393</c:v>
                </c:pt>
                <c:pt idx="14">
                  <c:v>-9.3181818181818185E-2</c:v>
                </c:pt>
                <c:pt idx="15">
                  <c:v>-7.6095779220779203E-2</c:v>
                </c:pt>
                <c:pt idx="16">
                  <c:v>-5.8874458874458864E-2</c:v>
                </c:pt>
                <c:pt idx="17">
                  <c:v>-4.2086038961038963E-2</c:v>
                </c:pt>
                <c:pt idx="18">
                  <c:v>-2.629870129870129E-2</c:v>
                </c:pt>
                <c:pt idx="19">
                  <c:v>-1.2080627705627718E-2</c:v>
                </c:pt>
                <c:pt idx="20">
                  <c:v>0</c:v>
                </c:pt>
                <c:pt idx="21">
                  <c:v>6.0146103896103788E-3</c:v>
                </c:pt>
                <c:pt idx="22">
                  <c:v>1.1103896103896088E-2</c:v>
                </c:pt>
                <c:pt idx="23">
                  <c:v>1.5316558441558423E-2</c:v>
                </c:pt>
                <c:pt idx="24">
                  <c:v>1.8701298701298677E-2</c:v>
                </c:pt>
                <c:pt idx="25">
                  <c:v>2.1306818181818166E-2</c:v>
                </c:pt>
                <c:pt idx="26">
                  <c:v>2.3181818181818161E-2</c:v>
                </c:pt>
                <c:pt idx="27">
                  <c:v>2.437499999999999E-2</c:v>
                </c:pt>
                <c:pt idx="28">
                  <c:v>2.4935064935064925E-2</c:v>
                </c:pt>
                <c:pt idx="29">
                  <c:v>2.491071428571429E-2</c:v>
                </c:pt>
                <c:pt idx="30">
                  <c:v>2.4350649350649359E-2</c:v>
                </c:pt>
                <c:pt idx="31">
                  <c:v>2.3303571428571448E-2</c:v>
                </c:pt>
                <c:pt idx="32">
                  <c:v>2.1818181818181844E-2</c:v>
                </c:pt>
                <c:pt idx="33">
                  <c:v>1.9943181818181853E-2</c:v>
                </c:pt>
                <c:pt idx="34">
                  <c:v>1.7727272727272782E-2</c:v>
                </c:pt>
                <c:pt idx="35">
                  <c:v>1.5219155844155908E-2</c:v>
                </c:pt>
                <c:pt idx="36">
                  <c:v>1.246753246753254E-2</c:v>
                </c:pt>
                <c:pt idx="37">
                  <c:v>9.5211038961039753E-3</c:v>
                </c:pt>
                <c:pt idx="38">
                  <c:v>6.4285714285715187E-3</c:v>
                </c:pt>
                <c:pt idx="39">
                  <c:v>3.2386363636364374E-3</c:v>
                </c:pt>
                <c:pt idx="40">
                  <c:v>5.0464682937507114E-17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94D-49D4-AAEB-BEA0D9D66E2E}"/>
            </c:ext>
          </c:extLst>
        </c:ser>
        <c:ser>
          <c:idx val="1"/>
          <c:order val="2"/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vypocet!$AK$23:$AK$24</c:f>
              <c:numCache>
                <c:formatCode>0.00</c:formatCode>
                <c:ptCount val="2"/>
                <c:pt idx="0">
                  <c:v>18</c:v>
                </c:pt>
                <c:pt idx="1">
                  <c:v>18</c:v>
                </c:pt>
              </c:numCache>
            </c:numRef>
          </c:xVal>
          <c:yVal>
            <c:numRef>
              <c:f>vypocet!$AK$25:$AK$26</c:f>
              <c:numCache>
                <c:formatCode>0.00</c:formatCode>
                <c:ptCount val="2"/>
                <c:pt idx="0" formatCode="0.000">
                  <c:v>-1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94D-49D4-AAEB-BEA0D9D66E2E}"/>
            </c:ext>
          </c:extLst>
        </c:ser>
        <c:ser>
          <c:idx val="3"/>
          <c:order val="3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vypocet!$AJ$68:$AJ$69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vypocet!$AK$68:$AK$69</c:f>
              <c:numCache>
                <c:formatCode>0.000</c:formatCode>
                <c:ptCount val="2"/>
                <c:pt idx="0">
                  <c:v>-1</c:v>
                </c:pt>
                <c:pt idx="1">
                  <c:v>2.4935064935064925E-2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94D-49D4-AAEB-BEA0D9D66E2E}"/>
            </c:ext>
          </c:extLst>
        </c:ser>
        <c:ser>
          <c:idx val="4"/>
          <c:order val="4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vypocet!$AJ$70:$AJ$71</c:f>
              <c:numCache>
                <c:formatCode>General</c:formatCode>
                <c:ptCount val="2"/>
                <c:pt idx="0">
                  <c:v>18</c:v>
                </c:pt>
                <c:pt idx="1">
                  <c:v>18</c:v>
                </c:pt>
              </c:numCache>
            </c:numRef>
          </c:xVal>
          <c:yVal>
            <c:numRef>
              <c:f>vypocet!$AK$70:$AK$71</c:f>
              <c:numCache>
                <c:formatCode>General</c:formatCode>
                <c:ptCount val="2"/>
                <c:pt idx="0">
                  <c:v>-1</c:v>
                </c:pt>
                <c:pt idx="1">
                  <c:v>2.4935064935064925E-2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94D-49D4-AAEB-BEA0D9D66E2E}"/>
            </c:ext>
          </c:extLst>
        </c:ser>
        <c:ser>
          <c:idx val="5"/>
          <c:order val="5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vypocet!$AJ$72:$AJ$73</c:f>
              <c:numCache>
                <c:formatCode>General</c:formatCode>
                <c:ptCount val="2"/>
                <c:pt idx="0">
                  <c:v>48</c:v>
                </c:pt>
                <c:pt idx="1">
                  <c:v>48</c:v>
                </c:pt>
              </c:numCache>
            </c:numRef>
          </c:xVal>
          <c:yVal>
            <c:numRef>
              <c:f>vypocet!$AK$72:$AK$73</c:f>
              <c:numCache>
                <c:formatCode>General</c:formatCode>
                <c:ptCount val="2"/>
                <c:pt idx="0">
                  <c:v>-1</c:v>
                </c:pt>
                <c:pt idx="1">
                  <c:v>2.4935064935064925E-2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94D-49D4-AAEB-BEA0D9D66E2E}"/>
            </c:ext>
          </c:extLst>
        </c:ser>
        <c:ser>
          <c:idx val="6"/>
          <c:order val="6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vypocet!$AJ$74:$AJ$75</c:f>
              <c:numCache>
                <c:formatCode>General</c:formatCode>
                <c:ptCount val="2"/>
                <c:pt idx="0">
                  <c:v>66</c:v>
                </c:pt>
                <c:pt idx="1">
                  <c:v>66</c:v>
                </c:pt>
              </c:numCache>
            </c:numRef>
          </c:xVal>
          <c:yVal>
            <c:numRef>
              <c:f>vypocet!$AK$74:$AK$75</c:f>
              <c:numCache>
                <c:formatCode>General</c:formatCode>
                <c:ptCount val="2"/>
                <c:pt idx="0">
                  <c:v>-1</c:v>
                </c:pt>
                <c:pt idx="1">
                  <c:v>2.4935064935064925E-2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694D-49D4-AAEB-BEA0D9D66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4820111"/>
        <c:axId val="1"/>
      </c:scatterChart>
      <c:valAx>
        <c:axId val="1934820111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34820111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518201498758137E-2"/>
          <c:y val="6.6903726975556452E-2"/>
          <c:w val="0.9346707743548196"/>
          <c:h val="0.86974845068223383"/>
        </c:manualLayout>
      </c:layout>
      <c:scatterChart>
        <c:scatterStyle val="smoothMarker"/>
        <c:varyColors val="0"/>
        <c:ser>
          <c:idx val="2"/>
          <c:order val="0"/>
          <c:tx>
            <c:v>Mba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vypocet!$N$6:$N$26</c:f>
              <c:numCache>
                <c:formatCode>0.00</c:formatCode>
                <c:ptCount val="2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6.3000000000000007</c:v>
                </c:pt>
                <c:pt idx="8">
                  <c:v>7.2000000000000011</c:v>
                </c:pt>
                <c:pt idx="9">
                  <c:v>8.1000000000000014</c:v>
                </c:pt>
                <c:pt idx="10">
                  <c:v>9.0000000000000018</c:v>
                </c:pt>
                <c:pt idx="11">
                  <c:v>9.9000000000000021</c:v>
                </c:pt>
                <c:pt idx="12">
                  <c:v>10.800000000000002</c:v>
                </c:pt>
                <c:pt idx="13">
                  <c:v>11.700000000000003</c:v>
                </c:pt>
                <c:pt idx="14">
                  <c:v>12.600000000000003</c:v>
                </c:pt>
                <c:pt idx="15">
                  <c:v>13.500000000000004</c:v>
                </c:pt>
                <c:pt idx="16">
                  <c:v>14.400000000000004</c:v>
                </c:pt>
                <c:pt idx="17">
                  <c:v>15.300000000000004</c:v>
                </c:pt>
                <c:pt idx="18">
                  <c:v>16.200000000000003</c:v>
                </c:pt>
                <c:pt idx="19">
                  <c:v>17.100000000000001</c:v>
                </c:pt>
                <c:pt idx="20">
                  <c:v>18</c:v>
                </c:pt>
              </c:numCache>
            </c:numRef>
          </c:xVal>
          <c:yVal>
            <c:numRef>
              <c:f>vypocet!$AU$6:$AU$26</c:f>
              <c:numCache>
                <c:formatCode>General</c:formatCode>
                <c:ptCount val="21"/>
                <c:pt idx="0">
                  <c:v>-0.41666666666666669</c:v>
                </c:pt>
                <c:pt idx="1">
                  <c:v>-0.41354166666666664</c:v>
                </c:pt>
                <c:pt idx="2">
                  <c:v>-0.40416666666666662</c:v>
                </c:pt>
                <c:pt idx="3">
                  <c:v>-0.38854166666666662</c:v>
                </c:pt>
                <c:pt idx="4">
                  <c:v>-0.3666666666666667</c:v>
                </c:pt>
                <c:pt idx="5">
                  <c:v>-0.33854166666666669</c:v>
                </c:pt>
                <c:pt idx="6">
                  <c:v>-0.30416666666666653</c:v>
                </c:pt>
                <c:pt idx="7">
                  <c:v>-0.26354166666666651</c:v>
                </c:pt>
                <c:pt idx="8">
                  <c:v>-0.21666666666666662</c:v>
                </c:pt>
                <c:pt idx="9">
                  <c:v>-0.16354166666666653</c:v>
                </c:pt>
                <c:pt idx="10">
                  <c:v>-0.10416666666666642</c:v>
                </c:pt>
                <c:pt idx="11">
                  <c:v>-3.8541666666666481E-2</c:v>
                </c:pt>
                <c:pt idx="12">
                  <c:v>3.3333333333333576E-2</c:v>
                </c:pt>
                <c:pt idx="13">
                  <c:v>0.11145833333333366</c:v>
                </c:pt>
                <c:pt idx="14">
                  <c:v>0.19583333333333358</c:v>
                </c:pt>
                <c:pt idx="15">
                  <c:v>0.28645833333333359</c:v>
                </c:pt>
                <c:pt idx="16">
                  <c:v>0.38333333333333369</c:v>
                </c:pt>
                <c:pt idx="17">
                  <c:v>0.48645833333333371</c:v>
                </c:pt>
                <c:pt idx="18">
                  <c:v>0.59583333333333377</c:v>
                </c:pt>
                <c:pt idx="19">
                  <c:v>0.7114583333333333</c:v>
                </c:pt>
                <c:pt idx="20">
                  <c:v>0.83333333333333337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5C4-4535-8F7B-0FFEBA8D903C}"/>
            </c:ext>
          </c:extLst>
        </c:ser>
        <c:ser>
          <c:idx val="0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vypocet!$N$26:$N$66</c:f>
              <c:numCache>
                <c:formatCode>0.00</c:formatCode>
                <c:ptCount val="41"/>
                <c:pt idx="0">
                  <c:v>18</c:v>
                </c:pt>
                <c:pt idx="1">
                  <c:v>19.5</c:v>
                </c:pt>
                <c:pt idx="2">
                  <c:v>21</c:v>
                </c:pt>
                <c:pt idx="3">
                  <c:v>22.5</c:v>
                </c:pt>
                <c:pt idx="4">
                  <c:v>24</c:v>
                </c:pt>
                <c:pt idx="5">
                  <c:v>25.5</c:v>
                </c:pt>
                <c:pt idx="6">
                  <c:v>27</c:v>
                </c:pt>
                <c:pt idx="7">
                  <c:v>28.5</c:v>
                </c:pt>
                <c:pt idx="8">
                  <c:v>30</c:v>
                </c:pt>
                <c:pt idx="9">
                  <c:v>31.5</c:v>
                </c:pt>
                <c:pt idx="10">
                  <c:v>33</c:v>
                </c:pt>
                <c:pt idx="11">
                  <c:v>34.5</c:v>
                </c:pt>
                <c:pt idx="12">
                  <c:v>36</c:v>
                </c:pt>
                <c:pt idx="13">
                  <c:v>37.5</c:v>
                </c:pt>
                <c:pt idx="14">
                  <c:v>39</c:v>
                </c:pt>
                <c:pt idx="15">
                  <c:v>40.5</c:v>
                </c:pt>
                <c:pt idx="16">
                  <c:v>42</c:v>
                </c:pt>
                <c:pt idx="17">
                  <c:v>43.5</c:v>
                </c:pt>
                <c:pt idx="18">
                  <c:v>45</c:v>
                </c:pt>
                <c:pt idx="19">
                  <c:v>46.5</c:v>
                </c:pt>
                <c:pt idx="20">
                  <c:v>48</c:v>
                </c:pt>
                <c:pt idx="21">
                  <c:v>48.9</c:v>
                </c:pt>
                <c:pt idx="22">
                  <c:v>49.8</c:v>
                </c:pt>
                <c:pt idx="23">
                  <c:v>50.699999999999996</c:v>
                </c:pt>
                <c:pt idx="24">
                  <c:v>51.599999999999994</c:v>
                </c:pt>
                <c:pt idx="25">
                  <c:v>52.499999999999993</c:v>
                </c:pt>
                <c:pt idx="26">
                  <c:v>53.399999999999991</c:v>
                </c:pt>
                <c:pt idx="27">
                  <c:v>54.29999999999999</c:v>
                </c:pt>
                <c:pt idx="28">
                  <c:v>55.199999999999989</c:v>
                </c:pt>
                <c:pt idx="29">
                  <c:v>56.099999999999987</c:v>
                </c:pt>
                <c:pt idx="30">
                  <c:v>56.999999999999986</c:v>
                </c:pt>
                <c:pt idx="31">
                  <c:v>57.899999999999984</c:v>
                </c:pt>
                <c:pt idx="32">
                  <c:v>58.799999999999983</c:v>
                </c:pt>
                <c:pt idx="33">
                  <c:v>59.699999999999982</c:v>
                </c:pt>
                <c:pt idx="34">
                  <c:v>60.59999999999998</c:v>
                </c:pt>
                <c:pt idx="35">
                  <c:v>61.499999999999979</c:v>
                </c:pt>
                <c:pt idx="36">
                  <c:v>62.399999999999977</c:v>
                </c:pt>
                <c:pt idx="37">
                  <c:v>63.299999999999976</c:v>
                </c:pt>
                <c:pt idx="38">
                  <c:v>64.199999999999974</c:v>
                </c:pt>
                <c:pt idx="39">
                  <c:v>65.09999999999998</c:v>
                </c:pt>
                <c:pt idx="40">
                  <c:v>65.999999999999986</c:v>
                </c:pt>
              </c:numCache>
            </c:numRef>
          </c:xVal>
          <c:yVal>
            <c:numRef>
              <c:f>vypocet!$AT$26:$AT$66</c:f>
              <c:numCache>
                <c:formatCode>General</c:formatCode>
                <c:ptCount val="41"/>
                <c:pt idx="0">
                  <c:v>-0.58441558441558439</c:v>
                </c:pt>
                <c:pt idx="1">
                  <c:v>-0.48392857142857149</c:v>
                </c:pt>
                <c:pt idx="2">
                  <c:v>-0.3902597402597402</c:v>
                </c:pt>
                <c:pt idx="3">
                  <c:v>-0.30340909090909091</c:v>
                </c:pt>
                <c:pt idx="4">
                  <c:v>-0.22337662337662337</c:v>
                </c:pt>
                <c:pt idx="5">
                  <c:v>-0.15016233766233766</c:v>
                </c:pt>
                <c:pt idx="6">
                  <c:v>-8.376623376623378E-2</c:v>
                </c:pt>
                <c:pt idx="7">
                  <c:v>-2.4188311688311724E-2</c:v>
                </c:pt>
                <c:pt idx="8">
                  <c:v>2.8571428571428626E-2</c:v>
                </c:pt>
                <c:pt idx="9">
                  <c:v>7.4512987012987031E-2</c:v>
                </c:pt>
                <c:pt idx="10">
                  <c:v>0.11363636363636365</c:v>
                </c:pt>
                <c:pt idx="11">
                  <c:v>0.14594155844155854</c:v>
                </c:pt>
                <c:pt idx="12">
                  <c:v>0.17142857142857137</c:v>
                </c:pt>
                <c:pt idx="13">
                  <c:v>0.19009740259740263</c:v>
                </c:pt>
                <c:pt idx="14">
                  <c:v>0.20194805194805188</c:v>
                </c:pt>
                <c:pt idx="15">
                  <c:v>0.20698051948051946</c:v>
                </c:pt>
                <c:pt idx="16">
                  <c:v>0.20519480519480529</c:v>
                </c:pt>
                <c:pt idx="17">
                  <c:v>0.19659090909090904</c:v>
                </c:pt>
                <c:pt idx="18">
                  <c:v>0.18116883116883115</c:v>
                </c:pt>
                <c:pt idx="19">
                  <c:v>0.15892857142857131</c:v>
                </c:pt>
                <c:pt idx="20">
                  <c:v>0.12987012987012986</c:v>
                </c:pt>
                <c:pt idx="21">
                  <c:v>0.11087662337662339</c:v>
                </c:pt>
                <c:pt idx="22">
                  <c:v>9.2857142857142888E-2</c:v>
                </c:pt>
                <c:pt idx="23">
                  <c:v>7.5811688311688386E-2</c:v>
                </c:pt>
                <c:pt idx="24">
                  <c:v>5.974025974025983E-2</c:v>
                </c:pt>
                <c:pt idx="25">
                  <c:v>4.4642857142857262E-2</c:v>
                </c:pt>
                <c:pt idx="26">
                  <c:v>3.0519480519480644E-2</c:v>
                </c:pt>
                <c:pt idx="27">
                  <c:v>1.7370129870130015E-2</c:v>
                </c:pt>
                <c:pt idx="28">
                  <c:v>5.1948051948053284E-3</c:v>
                </c:pt>
                <c:pt idx="29">
                  <c:v>-6.0064935064933558E-3</c:v>
                </c:pt>
                <c:pt idx="30">
                  <c:v>-1.6233766233766066E-2</c:v>
                </c:pt>
                <c:pt idx="31">
                  <c:v>-2.5487012987012843E-2</c:v>
                </c:pt>
                <c:pt idx="32">
                  <c:v>-3.3766233766233618E-2</c:v>
                </c:pt>
                <c:pt idx="33">
                  <c:v>-4.1071428571428412E-2</c:v>
                </c:pt>
                <c:pt idx="34">
                  <c:v>-4.7402597402597252E-2</c:v>
                </c:pt>
                <c:pt idx="35">
                  <c:v>-5.2759740259740132E-2</c:v>
                </c:pt>
                <c:pt idx="36">
                  <c:v>-5.7142857142857072E-2</c:v>
                </c:pt>
                <c:pt idx="37">
                  <c:v>-6.0551948051947933E-2</c:v>
                </c:pt>
                <c:pt idx="38">
                  <c:v>-6.2987012987012939E-2</c:v>
                </c:pt>
                <c:pt idx="39">
                  <c:v>-6.4448051948051893E-2</c:v>
                </c:pt>
                <c:pt idx="40">
                  <c:v>-6.4935064935064957E-2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5C4-4535-8F7B-0FFEBA8D903C}"/>
            </c:ext>
          </c:extLst>
        </c:ser>
        <c:ser>
          <c:idx val="1"/>
          <c:order val="2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vypocet!$AT$23:$AT$24</c:f>
              <c:numCache>
                <c:formatCode>General</c:formatCode>
                <c:ptCount val="2"/>
                <c:pt idx="0">
                  <c:v>18</c:v>
                </c:pt>
                <c:pt idx="1">
                  <c:v>18</c:v>
                </c:pt>
              </c:numCache>
            </c:numRef>
          </c:xVal>
          <c:yVal>
            <c:numRef>
              <c:f>vypocet!$AT$25:$AT$26</c:f>
              <c:numCache>
                <c:formatCode>General</c:formatCode>
                <c:ptCount val="2"/>
                <c:pt idx="0">
                  <c:v>0.83333333333333337</c:v>
                </c:pt>
                <c:pt idx="1">
                  <c:v>-0.58441558441558439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5C4-4535-8F7B-0FFEBA8D903C}"/>
            </c:ext>
          </c:extLst>
        </c:ser>
        <c:ser>
          <c:idx val="3"/>
          <c:order val="3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vypocet!$AT$68:$AT$69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vypocet!$AU$68:$AU$69</c:f>
              <c:numCache>
                <c:formatCode>0.000</c:formatCode>
                <c:ptCount val="2"/>
                <c:pt idx="0">
                  <c:v>-0.58441558441558439</c:v>
                </c:pt>
                <c:pt idx="1">
                  <c:v>0.83333333333333337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5C4-4535-8F7B-0FFEBA8D903C}"/>
            </c:ext>
          </c:extLst>
        </c:ser>
        <c:ser>
          <c:idx val="4"/>
          <c:order val="4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vypocet!$AT$70:$AT$71</c:f>
              <c:numCache>
                <c:formatCode>General</c:formatCode>
                <c:ptCount val="2"/>
                <c:pt idx="0">
                  <c:v>18</c:v>
                </c:pt>
                <c:pt idx="1">
                  <c:v>18</c:v>
                </c:pt>
              </c:numCache>
            </c:numRef>
          </c:xVal>
          <c:yVal>
            <c:numRef>
              <c:f>vypocet!$AU$70:$AU$71</c:f>
              <c:numCache>
                <c:formatCode>General</c:formatCode>
                <c:ptCount val="2"/>
                <c:pt idx="0">
                  <c:v>-0.58441558441558439</c:v>
                </c:pt>
                <c:pt idx="1">
                  <c:v>0.83333333333333337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5C4-4535-8F7B-0FFEBA8D903C}"/>
            </c:ext>
          </c:extLst>
        </c:ser>
        <c:ser>
          <c:idx val="5"/>
          <c:order val="5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vypocet!$AT$72:$AT$73</c:f>
              <c:numCache>
                <c:formatCode>General</c:formatCode>
                <c:ptCount val="2"/>
                <c:pt idx="0">
                  <c:v>48</c:v>
                </c:pt>
                <c:pt idx="1">
                  <c:v>48</c:v>
                </c:pt>
              </c:numCache>
            </c:numRef>
          </c:xVal>
          <c:yVal>
            <c:numRef>
              <c:f>vypocet!$AU$72:$AU$73</c:f>
              <c:numCache>
                <c:formatCode>General</c:formatCode>
                <c:ptCount val="2"/>
                <c:pt idx="0">
                  <c:v>-0.58441558441558439</c:v>
                </c:pt>
                <c:pt idx="1">
                  <c:v>0.83333333333333337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5C4-4535-8F7B-0FFEBA8D903C}"/>
            </c:ext>
          </c:extLst>
        </c:ser>
        <c:ser>
          <c:idx val="6"/>
          <c:order val="6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vypocet!$AT$74:$AT$75</c:f>
              <c:numCache>
                <c:formatCode>General</c:formatCode>
                <c:ptCount val="2"/>
                <c:pt idx="0">
                  <c:v>66</c:v>
                </c:pt>
                <c:pt idx="1">
                  <c:v>66</c:v>
                </c:pt>
              </c:numCache>
            </c:numRef>
          </c:xVal>
          <c:yVal>
            <c:numRef>
              <c:f>vypocet!$AU$74:$AU$75</c:f>
              <c:numCache>
                <c:formatCode>General</c:formatCode>
                <c:ptCount val="2"/>
                <c:pt idx="0">
                  <c:v>-0.58441558441558439</c:v>
                </c:pt>
                <c:pt idx="1">
                  <c:v>0.83333333333333337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65C4-4535-8F7B-0FFEBA8D9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4812207"/>
        <c:axId val="1"/>
      </c:scatterChart>
      <c:valAx>
        <c:axId val="1934812207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34812207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518201498758137E-2"/>
          <c:y val="6.6903726975556452E-2"/>
          <c:w val="0.9346707743548196"/>
          <c:h val="0.86974845068223383"/>
        </c:manualLayout>
      </c:layout>
      <c:scatterChart>
        <c:scatterStyle val="smoothMarker"/>
        <c:varyColors val="0"/>
        <c:ser>
          <c:idx val="2"/>
          <c:order val="0"/>
          <c:tx>
            <c:v>Mba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vypocet!$N$6:$N$36</c:f>
              <c:numCache>
                <c:formatCode>0.00</c:formatCode>
                <c:ptCount val="3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6.3000000000000007</c:v>
                </c:pt>
                <c:pt idx="8">
                  <c:v>7.2000000000000011</c:v>
                </c:pt>
                <c:pt idx="9">
                  <c:v>8.1000000000000014</c:v>
                </c:pt>
                <c:pt idx="10">
                  <c:v>9.0000000000000018</c:v>
                </c:pt>
                <c:pt idx="11">
                  <c:v>9.9000000000000021</c:v>
                </c:pt>
                <c:pt idx="12">
                  <c:v>10.800000000000002</c:v>
                </c:pt>
                <c:pt idx="13">
                  <c:v>11.700000000000003</c:v>
                </c:pt>
                <c:pt idx="14">
                  <c:v>12.600000000000003</c:v>
                </c:pt>
                <c:pt idx="15">
                  <c:v>13.500000000000004</c:v>
                </c:pt>
                <c:pt idx="16">
                  <c:v>14.400000000000004</c:v>
                </c:pt>
                <c:pt idx="17">
                  <c:v>15.300000000000004</c:v>
                </c:pt>
                <c:pt idx="18">
                  <c:v>16.200000000000003</c:v>
                </c:pt>
                <c:pt idx="19">
                  <c:v>17.100000000000001</c:v>
                </c:pt>
                <c:pt idx="20">
                  <c:v>18</c:v>
                </c:pt>
                <c:pt idx="21">
                  <c:v>19.5</c:v>
                </c:pt>
                <c:pt idx="22">
                  <c:v>21</c:v>
                </c:pt>
                <c:pt idx="23">
                  <c:v>22.5</c:v>
                </c:pt>
                <c:pt idx="24">
                  <c:v>24</c:v>
                </c:pt>
                <c:pt idx="25">
                  <c:v>25.5</c:v>
                </c:pt>
                <c:pt idx="26">
                  <c:v>27</c:v>
                </c:pt>
                <c:pt idx="27">
                  <c:v>28.5</c:v>
                </c:pt>
                <c:pt idx="28">
                  <c:v>30</c:v>
                </c:pt>
                <c:pt idx="29">
                  <c:v>31.5</c:v>
                </c:pt>
                <c:pt idx="30">
                  <c:v>33</c:v>
                </c:pt>
              </c:numCache>
            </c:numRef>
          </c:xVal>
          <c:yVal>
            <c:numRef>
              <c:f>vypocet!$AV$6:$AV$36</c:f>
              <c:numCache>
                <c:formatCode>General</c:formatCode>
                <c:ptCount val="31"/>
                <c:pt idx="0">
                  <c:v>-7.1428571428571425E-2</c:v>
                </c:pt>
                <c:pt idx="1">
                  <c:v>-7.0892857142857146E-2</c:v>
                </c:pt>
                <c:pt idx="2">
                  <c:v>-6.9285714285714284E-2</c:v>
                </c:pt>
                <c:pt idx="3">
                  <c:v>-6.6607142857142865E-2</c:v>
                </c:pt>
                <c:pt idx="4">
                  <c:v>-6.2857142857142861E-2</c:v>
                </c:pt>
                <c:pt idx="5">
                  <c:v>-5.8035714285714288E-2</c:v>
                </c:pt>
                <c:pt idx="6">
                  <c:v>-5.2142857142857137E-2</c:v>
                </c:pt>
                <c:pt idx="7">
                  <c:v>-4.5178571428571415E-2</c:v>
                </c:pt>
                <c:pt idx="8">
                  <c:v>-3.714285714285713E-2</c:v>
                </c:pt>
                <c:pt idx="9">
                  <c:v>-2.8035714285714265E-2</c:v>
                </c:pt>
                <c:pt idx="10">
                  <c:v>-1.7857142857142842E-2</c:v>
                </c:pt>
                <c:pt idx="11">
                  <c:v>-6.6071428571428271E-3</c:v>
                </c:pt>
                <c:pt idx="12">
                  <c:v>5.7142857142857516E-3</c:v>
                </c:pt>
                <c:pt idx="13">
                  <c:v>1.9107142857142892E-2</c:v>
                </c:pt>
                <c:pt idx="14">
                  <c:v>3.3571428571428613E-2</c:v>
                </c:pt>
                <c:pt idx="15">
                  <c:v>4.9107142857142905E-2</c:v>
                </c:pt>
                <c:pt idx="16">
                  <c:v>6.5714285714285781E-2</c:v>
                </c:pt>
                <c:pt idx="17">
                  <c:v>8.3392857142857199E-2</c:v>
                </c:pt>
                <c:pt idx="18">
                  <c:v>0.10214285714285723</c:v>
                </c:pt>
                <c:pt idx="19">
                  <c:v>0.12196428571428571</c:v>
                </c:pt>
                <c:pt idx="20">
                  <c:v>0.14285714285714285</c:v>
                </c:pt>
                <c:pt idx="21">
                  <c:v>0.1785714285714286</c:v>
                </c:pt>
                <c:pt idx="22">
                  <c:v>0.21428571428571425</c:v>
                </c:pt>
                <c:pt idx="23">
                  <c:v>0.24999999999999994</c:v>
                </c:pt>
                <c:pt idx="24">
                  <c:v>0.28571428571428564</c:v>
                </c:pt>
                <c:pt idx="25">
                  <c:v>0.3214285714285714</c:v>
                </c:pt>
                <c:pt idx="26">
                  <c:v>0.35714285714285715</c:v>
                </c:pt>
                <c:pt idx="27">
                  <c:v>0.39285714285714285</c:v>
                </c:pt>
                <c:pt idx="28">
                  <c:v>0.42857142857142855</c:v>
                </c:pt>
                <c:pt idx="29">
                  <c:v>0.4642857142857143</c:v>
                </c:pt>
                <c:pt idx="30">
                  <c:v>0.49999999999999994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B6C-4BAA-8A7D-77FD831B21C0}"/>
            </c:ext>
          </c:extLst>
        </c:ser>
        <c:ser>
          <c:idx val="0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vypocet!$N$36:$N$66</c:f>
              <c:numCache>
                <c:formatCode>0.00</c:formatCode>
                <c:ptCount val="31"/>
                <c:pt idx="0">
                  <c:v>33</c:v>
                </c:pt>
                <c:pt idx="1">
                  <c:v>34.5</c:v>
                </c:pt>
                <c:pt idx="2">
                  <c:v>36</c:v>
                </c:pt>
                <c:pt idx="3">
                  <c:v>37.5</c:v>
                </c:pt>
                <c:pt idx="4">
                  <c:v>39</c:v>
                </c:pt>
                <c:pt idx="5">
                  <c:v>40.5</c:v>
                </c:pt>
                <c:pt idx="6">
                  <c:v>42</c:v>
                </c:pt>
                <c:pt idx="7">
                  <c:v>43.5</c:v>
                </c:pt>
                <c:pt idx="8">
                  <c:v>45</c:v>
                </c:pt>
                <c:pt idx="9">
                  <c:v>46.5</c:v>
                </c:pt>
                <c:pt idx="10">
                  <c:v>48</c:v>
                </c:pt>
                <c:pt idx="11">
                  <c:v>48.9</c:v>
                </c:pt>
                <c:pt idx="12">
                  <c:v>49.8</c:v>
                </c:pt>
                <c:pt idx="13">
                  <c:v>50.699999999999996</c:v>
                </c:pt>
                <c:pt idx="14">
                  <c:v>51.599999999999994</c:v>
                </c:pt>
                <c:pt idx="15">
                  <c:v>52.499999999999993</c:v>
                </c:pt>
                <c:pt idx="16">
                  <c:v>53.399999999999991</c:v>
                </c:pt>
                <c:pt idx="17">
                  <c:v>54.29999999999999</c:v>
                </c:pt>
                <c:pt idx="18">
                  <c:v>55.199999999999989</c:v>
                </c:pt>
                <c:pt idx="19">
                  <c:v>56.099999999999987</c:v>
                </c:pt>
                <c:pt idx="20">
                  <c:v>56.999999999999986</c:v>
                </c:pt>
                <c:pt idx="21">
                  <c:v>57.899999999999984</c:v>
                </c:pt>
                <c:pt idx="22">
                  <c:v>58.799999999999983</c:v>
                </c:pt>
                <c:pt idx="23">
                  <c:v>59.699999999999982</c:v>
                </c:pt>
                <c:pt idx="24">
                  <c:v>60.59999999999998</c:v>
                </c:pt>
                <c:pt idx="25">
                  <c:v>61.499999999999979</c:v>
                </c:pt>
                <c:pt idx="26">
                  <c:v>62.399999999999977</c:v>
                </c:pt>
                <c:pt idx="27">
                  <c:v>63.299999999999976</c:v>
                </c:pt>
                <c:pt idx="28">
                  <c:v>64.199999999999974</c:v>
                </c:pt>
                <c:pt idx="29">
                  <c:v>65.09999999999998</c:v>
                </c:pt>
                <c:pt idx="30">
                  <c:v>65.999999999999986</c:v>
                </c:pt>
              </c:numCache>
            </c:numRef>
          </c:xVal>
          <c:yVal>
            <c:numRef>
              <c:f>vypocet!$AW$36:$AW$66</c:f>
              <c:numCache>
                <c:formatCode>General</c:formatCode>
                <c:ptCount val="31"/>
                <c:pt idx="0">
                  <c:v>-0.5</c:v>
                </c:pt>
                <c:pt idx="1">
                  <c:v>-0.4642857142857143</c:v>
                </c:pt>
                <c:pt idx="2">
                  <c:v>-0.42857142857142855</c:v>
                </c:pt>
                <c:pt idx="3">
                  <c:v>-0.39285714285714285</c:v>
                </c:pt>
                <c:pt idx="4">
                  <c:v>-0.35714285714285715</c:v>
                </c:pt>
                <c:pt idx="5">
                  <c:v>-0.32142857142857145</c:v>
                </c:pt>
                <c:pt idx="6">
                  <c:v>-0.2857142857142857</c:v>
                </c:pt>
                <c:pt idx="7">
                  <c:v>-0.24999999999999997</c:v>
                </c:pt>
                <c:pt idx="8">
                  <c:v>-0.2142857142857143</c:v>
                </c:pt>
                <c:pt idx="9">
                  <c:v>-0.17857142857142855</c:v>
                </c:pt>
                <c:pt idx="10">
                  <c:v>-0.14285714285714279</c:v>
                </c:pt>
                <c:pt idx="11">
                  <c:v>-0.12196428571428575</c:v>
                </c:pt>
                <c:pt idx="12">
                  <c:v>-0.10214285714285717</c:v>
                </c:pt>
                <c:pt idx="13">
                  <c:v>-8.3392857142857241E-2</c:v>
                </c:pt>
                <c:pt idx="14">
                  <c:v>-6.5714285714285822E-2</c:v>
                </c:pt>
                <c:pt idx="15">
                  <c:v>-4.9107142857142995E-2</c:v>
                </c:pt>
                <c:pt idx="16">
                  <c:v>-3.357142857142871E-2</c:v>
                </c:pt>
                <c:pt idx="17">
                  <c:v>-1.910714285714302E-2</c:v>
                </c:pt>
                <c:pt idx="18">
                  <c:v>-5.7142857142858617E-3</c:v>
                </c:pt>
                <c:pt idx="19">
                  <c:v>6.6071428571426926E-3</c:v>
                </c:pt>
                <c:pt idx="20">
                  <c:v>1.7857142857142676E-2</c:v>
                </c:pt>
                <c:pt idx="21">
                  <c:v>2.8035714285714133E-2</c:v>
                </c:pt>
                <c:pt idx="22">
                  <c:v>3.7142857142856985E-2</c:v>
                </c:pt>
                <c:pt idx="23">
                  <c:v>4.5178571428571256E-2</c:v>
                </c:pt>
                <c:pt idx="24">
                  <c:v>5.2142857142856984E-2</c:v>
                </c:pt>
                <c:pt idx="25">
                  <c:v>5.8035714285714163E-2</c:v>
                </c:pt>
                <c:pt idx="26">
                  <c:v>6.2857142857142778E-2</c:v>
                </c:pt>
                <c:pt idx="27">
                  <c:v>6.660714285714274E-2</c:v>
                </c:pt>
                <c:pt idx="28">
                  <c:v>6.9285714285714242E-2</c:v>
                </c:pt>
                <c:pt idx="29">
                  <c:v>7.0892857142857091E-2</c:v>
                </c:pt>
                <c:pt idx="30">
                  <c:v>7.1428571428571452E-2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B6C-4BAA-8A7D-77FD831B21C0}"/>
            </c:ext>
          </c:extLst>
        </c:ser>
        <c:ser>
          <c:idx val="1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vypocet!$AW$33:$AW$34</c:f>
              <c:numCache>
                <c:formatCode>General</c:formatCode>
                <c:ptCount val="2"/>
                <c:pt idx="0">
                  <c:v>33</c:v>
                </c:pt>
                <c:pt idx="1">
                  <c:v>33</c:v>
                </c:pt>
              </c:numCache>
            </c:numRef>
          </c:xVal>
          <c:yVal>
            <c:numRef>
              <c:f>vypocet!$AW$35:$AW$36</c:f>
              <c:numCache>
                <c:formatCode>General</c:formatCode>
                <c:ptCount val="2"/>
                <c:pt idx="0">
                  <c:v>0.49999999999999994</c:v>
                </c:pt>
                <c:pt idx="1">
                  <c:v>-0.5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B6C-4BAA-8A7D-77FD831B21C0}"/>
            </c:ext>
          </c:extLst>
        </c:ser>
        <c:ser>
          <c:idx val="3"/>
          <c:order val="3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vypocet!$AV$68:$AV$69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vypocet!$AW$68:$AW$69</c:f>
              <c:numCache>
                <c:formatCode>0.000</c:formatCode>
                <c:ptCount val="2"/>
                <c:pt idx="0">
                  <c:v>-0.5</c:v>
                </c:pt>
                <c:pt idx="1">
                  <c:v>0.49999999999999994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B6C-4BAA-8A7D-77FD831B21C0}"/>
            </c:ext>
          </c:extLst>
        </c:ser>
        <c:ser>
          <c:idx val="4"/>
          <c:order val="4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vypocet!$AV$70:$AV$71</c:f>
              <c:numCache>
                <c:formatCode>General</c:formatCode>
                <c:ptCount val="2"/>
                <c:pt idx="0">
                  <c:v>18</c:v>
                </c:pt>
                <c:pt idx="1">
                  <c:v>18</c:v>
                </c:pt>
              </c:numCache>
            </c:numRef>
          </c:xVal>
          <c:yVal>
            <c:numRef>
              <c:f>vypocet!$AW$70:$AW$71</c:f>
              <c:numCache>
                <c:formatCode>General</c:formatCode>
                <c:ptCount val="2"/>
                <c:pt idx="0">
                  <c:v>-0.5</c:v>
                </c:pt>
                <c:pt idx="1">
                  <c:v>0.49999999999999994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B6C-4BAA-8A7D-77FD831B21C0}"/>
            </c:ext>
          </c:extLst>
        </c:ser>
        <c:ser>
          <c:idx val="5"/>
          <c:order val="5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vypocet!$AV$72:$AV$73</c:f>
              <c:numCache>
                <c:formatCode>General</c:formatCode>
                <c:ptCount val="2"/>
                <c:pt idx="0">
                  <c:v>48</c:v>
                </c:pt>
                <c:pt idx="1">
                  <c:v>48</c:v>
                </c:pt>
              </c:numCache>
            </c:numRef>
          </c:xVal>
          <c:yVal>
            <c:numRef>
              <c:f>vypocet!$AW$72:$AW$73</c:f>
              <c:numCache>
                <c:formatCode>General</c:formatCode>
                <c:ptCount val="2"/>
                <c:pt idx="0">
                  <c:v>-0.5</c:v>
                </c:pt>
                <c:pt idx="1">
                  <c:v>0.49999999999999994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B6C-4BAA-8A7D-77FD831B21C0}"/>
            </c:ext>
          </c:extLst>
        </c:ser>
        <c:ser>
          <c:idx val="6"/>
          <c:order val="6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vypocet!$AV$74:$AV$75</c:f>
              <c:numCache>
                <c:formatCode>General</c:formatCode>
                <c:ptCount val="2"/>
                <c:pt idx="0">
                  <c:v>66</c:v>
                </c:pt>
                <c:pt idx="1">
                  <c:v>66</c:v>
                </c:pt>
              </c:numCache>
            </c:numRef>
          </c:xVal>
          <c:yVal>
            <c:numRef>
              <c:f>vypocet!$AW$74:$AW$75</c:f>
              <c:numCache>
                <c:formatCode>General</c:formatCode>
                <c:ptCount val="2"/>
                <c:pt idx="0">
                  <c:v>-0.5</c:v>
                </c:pt>
                <c:pt idx="1">
                  <c:v>0.49999999999999994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3B6C-4BAA-8A7D-77FD831B2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4828015"/>
        <c:axId val="1"/>
      </c:scatterChart>
      <c:valAx>
        <c:axId val="1934828015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34828015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528184432413118E-2"/>
          <c:y val="6.149082904747151E-2"/>
          <c:w val="0.93160770822061933"/>
          <c:h val="0.87058068493525453"/>
        </c:manualLayout>
      </c:layout>
      <c:scatterChart>
        <c:scatterStyle val="lineMarker"/>
        <c:varyColors val="0"/>
        <c:ser>
          <c:idx val="1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vypocet!$BB$6:$BB$68</c:f>
              <c:numCache>
                <c:formatCode>General</c:formatCode>
                <c:ptCount val="63"/>
                <c:pt idx="0" formatCode="0.00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5.3809523809523823</c:v>
                </c:pt>
                <c:pt idx="7">
                  <c:v>5.3809523809523823</c:v>
                </c:pt>
                <c:pt idx="8">
                  <c:v>5.4</c:v>
                </c:pt>
                <c:pt idx="9">
                  <c:v>6.3000000000000007</c:v>
                </c:pt>
                <c:pt idx="10">
                  <c:v>7.2000000000000011</c:v>
                </c:pt>
                <c:pt idx="11">
                  <c:v>8.1000000000000014</c:v>
                </c:pt>
                <c:pt idx="12">
                  <c:v>9.0000000000000018</c:v>
                </c:pt>
                <c:pt idx="13">
                  <c:v>9.9000000000000021</c:v>
                </c:pt>
                <c:pt idx="14">
                  <c:v>10.800000000000002</c:v>
                </c:pt>
                <c:pt idx="15">
                  <c:v>11.700000000000003</c:v>
                </c:pt>
                <c:pt idx="16">
                  <c:v>12.600000000000003</c:v>
                </c:pt>
                <c:pt idx="17">
                  <c:v>13.500000000000004</c:v>
                </c:pt>
                <c:pt idx="18">
                  <c:v>14.400000000000004</c:v>
                </c:pt>
                <c:pt idx="19">
                  <c:v>15.300000000000004</c:v>
                </c:pt>
                <c:pt idx="20">
                  <c:v>16.200000000000003</c:v>
                </c:pt>
                <c:pt idx="21">
                  <c:v>17.100000000000001</c:v>
                </c:pt>
                <c:pt idx="22">
                  <c:v>18</c:v>
                </c:pt>
                <c:pt idx="23">
                  <c:v>19.5</c:v>
                </c:pt>
                <c:pt idx="24">
                  <c:v>21</c:v>
                </c:pt>
                <c:pt idx="25">
                  <c:v>22.5</c:v>
                </c:pt>
                <c:pt idx="26">
                  <c:v>24</c:v>
                </c:pt>
                <c:pt idx="27">
                  <c:v>25.5</c:v>
                </c:pt>
                <c:pt idx="28">
                  <c:v>27</c:v>
                </c:pt>
                <c:pt idx="29">
                  <c:v>28.5</c:v>
                </c:pt>
                <c:pt idx="30">
                  <c:v>30</c:v>
                </c:pt>
                <c:pt idx="31">
                  <c:v>31.5</c:v>
                </c:pt>
                <c:pt idx="32">
                  <c:v>33</c:v>
                </c:pt>
                <c:pt idx="33">
                  <c:v>34.5</c:v>
                </c:pt>
                <c:pt idx="34">
                  <c:v>36</c:v>
                </c:pt>
                <c:pt idx="35">
                  <c:v>37.5</c:v>
                </c:pt>
                <c:pt idx="36">
                  <c:v>39</c:v>
                </c:pt>
                <c:pt idx="37">
                  <c:v>40.5</c:v>
                </c:pt>
                <c:pt idx="38">
                  <c:v>42</c:v>
                </c:pt>
                <c:pt idx="39">
                  <c:v>43.5</c:v>
                </c:pt>
                <c:pt idx="40">
                  <c:v>45</c:v>
                </c:pt>
                <c:pt idx="41">
                  <c:v>46.5</c:v>
                </c:pt>
                <c:pt idx="42">
                  <c:v>48</c:v>
                </c:pt>
                <c:pt idx="43">
                  <c:v>48.9</c:v>
                </c:pt>
                <c:pt idx="44">
                  <c:v>49.8</c:v>
                </c:pt>
                <c:pt idx="45">
                  <c:v>50.699999999999996</c:v>
                </c:pt>
                <c:pt idx="46">
                  <c:v>51.599999999999994</c:v>
                </c:pt>
                <c:pt idx="47">
                  <c:v>52.499999999999993</c:v>
                </c:pt>
                <c:pt idx="48">
                  <c:v>53.399999999999991</c:v>
                </c:pt>
                <c:pt idx="49">
                  <c:v>54.29999999999999</c:v>
                </c:pt>
                <c:pt idx="50">
                  <c:v>55.199999999999989</c:v>
                </c:pt>
                <c:pt idx="51">
                  <c:v>56.099999999999987</c:v>
                </c:pt>
                <c:pt idx="52">
                  <c:v>56.999999999999986</c:v>
                </c:pt>
                <c:pt idx="53">
                  <c:v>57.899999999999984</c:v>
                </c:pt>
                <c:pt idx="54">
                  <c:v>58.799999999999983</c:v>
                </c:pt>
                <c:pt idx="55">
                  <c:v>59.699999999999982</c:v>
                </c:pt>
                <c:pt idx="56">
                  <c:v>60.59999999999998</c:v>
                </c:pt>
                <c:pt idx="57">
                  <c:v>61.499999999999979</c:v>
                </c:pt>
                <c:pt idx="58">
                  <c:v>62.399999999999977</c:v>
                </c:pt>
                <c:pt idx="59">
                  <c:v>63.299999999999976</c:v>
                </c:pt>
                <c:pt idx="60">
                  <c:v>64.199999999999974</c:v>
                </c:pt>
                <c:pt idx="61">
                  <c:v>65.09999999999998</c:v>
                </c:pt>
                <c:pt idx="62" formatCode="0.000">
                  <c:v>65.999999999999986</c:v>
                </c:pt>
              </c:numCache>
            </c:numRef>
          </c:xVal>
          <c:yVal>
            <c:numRef>
              <c:f>vypocet!$BC$6:$BC$68</c:f>
              <c:numCache>
                <c:formatCode>General</c:formatCode>
                <c:ptCount val="63"/>
                <c:pt idx="0">
                  <c:v>0.63894042465471024</c:v>
                </c:pt>
                <c:pt idx="1">
                  <c:v>0.63940630797773634</c:v>
                </c:pt>
                <c:pt idx="2">
                  <c:v>0.64080395794681499</c:v>
                </c:pt>
                <c:pt idx="3">
                  <c:v>0.64313337456194586</c:v>
                </c:pt>
                <c:pt idx="4">
                  <c:v>0.64639455782312905</c:v>
                </c:pt>
                <c:pt idx="5">
                  <c:v>0.65058750773036478</c:v>
                </c:pt>
                <c:pt idx="6">
                  <c:v>0.65559411338604834</c:v>
                </c:pt>
                <c:pt idx="7">
                  <c:v>-0.34440588661395161</c:v>
                </c:pt>
                <c:pt idx="8">
                  <c:v>-0.34428777571634728</c:v>
                </c:pt>
                <c:pt idx="9">
                  <c:v>-0.33823129251700695</c:v>
                </c:pt>
                <c:pt idx="10">
                  <c:v>-0.33124304267161425</c:v>
                </c:pt>
                <c:pt idx="11">
                  <c:v>-0.32332302618016912</c:v>
                </c:pt>
                <c:pt idx="12">
                  <c:v>-0.31447124304267171</c:v>
                </c:pt>
                <c:pt idx="13">
                  <c:v>-0.30468769325912193</c:v>
                </c:pt>
                <c:pt idx="14">
                  <c:v>-0.29397237682951977</c:v>
                </c:pt>
                <c:pt idx="15">
                  <c:v>-0.28232529375386523</c:v>
                </c:pt>
                <c:pt idx="16">
                  <c:v>-0.26974644403215842</c:v>
                </c:pt>
                <c:pt idx="17">
                  <c:v>-0.25623582766439917</c:v>
                </c:pt>
                <c:pt idx="18">
                  <c:v>-0.24179344465058755</c:v>
                </c:pt>
                <c:pt idx="19">
                  <c:v>-0.22641929499072355</c:v>
                </c:pt>
                <c:pt idx="20">
                  <c:v>-0.21011337868480726</c:v>
                </c:pt>
                <c:pt idx="21">
                  <c:v>-0.19287569573283872</c:v>
                </c:pt>
                <c:pt idx="22">
                  <c:v>-0.17470624613481767</c:v>
                </c:pt>
                <c:pt idx="23">
                  <c:v>-0.14466647770219204</c:v>
                </c:pt>
                <c:pt idx="24">
                  <c:v>-0.11666494880780597</c:v>
                </c:pt>
                <c:pt idx="25">
                  <c:v>-9.0701659451659478E-2</c:v>
                </c:pt>
                <c:pt idx="26">
                  <c:v>-6.6776609633752509E-2</c:v>
                </c:pt>
                <c:pt idx="27">
                  <c:v>-4.4889799354085082E-2</c:v>
                </c:pt>
                <c:pt idx="28">
                  <c:v>-2.5041228612657195E-2</c:v>
                </c:pt>
                <c:pt idx="29">
                  <c:v>-7.2308974094688512E-3</c:v>
                </c:pt>
                <c:pt idx="30">
                  <c:v>8.5411942554799881E-3</c:v>
                </c:pt>
                <c:pt idx="31">
                  <c:v>2.2275046382189249E-2</c:v>
                </c:pt>
                <c:pt idx="32">
                  <c:v>3.3970658970658985E-2</c:v>
                </c:pt>
                <c:pt idx="33">
                  <c:v>4.3628032020889204E-2</c:v>
                </c:pt>
                <c:pt idx="34">
                  <c:v>5.1247165532879814E-2</c:v>
                </c:pt>
                <c:pt idx="35">
                  <c:v>5.682805950663096E-2</c:v>
                </c:pt>
                <c:pt idx="36">
                  <c:v>6.0370713942142502E-2</c:v>
                </c:pt>
                <c:pt idx="37">
                  <c:v>6.1875128839414567E-2</c:v>
                </c:pt>
                <c:pt idx="38">
                  <c:v>6.1341304198447098E-2</c:v>
                </c:pt>
                <c:pt idx="39">
                  <c:v>5.876924001924002E-2</c:v>
                </c:pt>
                <c:pt idx="40">
                  <c:v>5.4158936301793456E-2</c:v>
                </c:pt>
                <c:pt idx="41">
                  <c:v>4.7510393046107303E-2</c:v>
                </c:pt>
                <c:pt idx="42">
                  <c:v>3.8823610252181687E-2</c:v>
                </c:pt>
                <c:pt idx="43">
                  <c:v>3.3145657252800123E-2</c:v>
                </c:pt>
                <c:pt idx="44">
                  <c:v>2.7758881330309914E-2</c:v>
                </c:pt>
                <c:pt idx="45">
                  <c:v>2.2663282484711084E-2</c:v>
                </c:pt>
                <c:pt idx="46">
                  <c:v>1.7858860716003604E-2</c:v>
                </c:pt>
                <c:pt idx="47">
                  <c:v>1.3345616024187492E-2</c:v>
                </c:pt>
                <c:pt idx="48">
                  <c:v>9.1235484092627352E-3</c:v>
                </c:pt>
                <c:pt idx="49">
                  <c:v>5.1926578712293446E-3</c:v>
                </c:pt>
                <c:pt idx="50">
                  <c:v>1.5529444100873078E-3</c:v>
                </c:pt>
                <c:pt idx="51">
                  <c:v>-1.7955919741633581E-3</c:v>
                </c:pt>
                <c:pt idx="52">
                  <c:v>-4.8529512815226605E-3</c:v>
                </c:pt>
                <c:pt idx="53">
                  <c:v>-7.6191335119906141E-3</c:v>
                </c:pt>
                <c:pt idx="54">
                  <c:v>-1.0094138665567196E-2</c:v>
                </c:pt>
                <c:pt idx="55">
                  <c:v>-1.2277966742252412E-2</c:v>
                </c:pt>
                <c:pt idx="56">
                  <c:v>-1.4170617742046272E-2</c:v>
                </c:pt>
                <c:pt idx="57">
                  <c:v>-1.5772091664948775E-2</c:v>
                </c:pt>
                <c:pt idx="58">
                  <c:v>-1.7082388510959921E-2</c:v>
                </c:pt>
                <c:pt idx="59">
                  <c:v>-1.810150828007968E-2</c:v>
                </c:pt>
                <c:pt idx="60">
                  <c:v>-1.8829450972308103E-2</c:v>
                </c:pt>
                <c:pt idx="61">
                  <c:v>-1.9266216587645147E-2</c:v>
                </c:pt>
                <c:pt idx="62">
                  <c:v>-1.941180512609085E-2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68-4BF5-9C4F-A2E7F5A9ECAD}"/>
            </c:ext>
          </c:extLst>
        </c:ser>
        <c:ser>
          <c:idx val="0"/>
          <c:order val="1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vypocet!$BB$69:$BB$70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vypocet!$BC$69:$BC$70</c:f>
              <c:numCache>
                <c:formatCode>0.000</c:formatCode>
                <c:ptCount val="2"/>
                <c:pt idx="0">
                  <c:v>-0.34440588661395161</c:v>
                </c:pt>
                <c:pt idx="1">
                  <c:v>0.65559411338604834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68-4BF5-9C4F-A2E7F5A9ECAD}"/>
            </c:ext>
          </c:extLst>
        </c:ser>
        <c:ser>
          <c:idx val="2"/>
          <c:order val="2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vypocet!$BB$71:$BB$72</c:f>
              <c:numCache>
                <c:formatCode>General</c:formatCode>
                <c:ptCount val="2"/>
                <c:pt idx="0">
                  <c:v>18</c:v>
                </c:pt>
                <c:pt idx="1">
                  <c:v>18</c:v>
                </c:pt>
              </c:numCache>
            </c:numRef>
          </c:xVal>
          <c:yVal>
            <c:numRef>
              <c:f>vypocet!$BC$71:$BC$72</c:f>
              <c:numCache>
                <c:formatCode>General</c:formatCode>
                <c:ptCount val="2"/>
                <c:pt idx="0">
                  <c:v>-0.34440588661395161</c:v>
                </c:pt>
                <c:pt idx="1">
                  <c:v>0.65559411338604834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68-4BF5-9C4F-A2E7F5A9ECAD}"/>
            </c:ext>
          </c:extLst>
        </c:ser>
        <c:ser>
          <c:idx val="3"/>
          <c:order val="3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vypocet!$BB$73:$BB$74</c:f>
              <c:numCache>
                <c:formatCode>General</c:formatCode>
                <c:ptCount val="2"/>
                <c:pt idx="0">
                  <c:v>48</c:v>
                </c:pt>
                <c:pt idx="1">
                  <c:v>48</c:v>
                </c:pt>
              </c:numCache>
            </c:numRef>
          </c:xVal>
          <c:yVal>
            <c:numRef>
              <c:f>vypocet!$BC$73:$BC$74</c:f>
              <c:numCache>
                <c:formatCode>General</c:formatCode>
                <c:ptCount val="2"/>
                <c:pt idx="0">
                  <c:v>-0.34440588661395161</c:v>
                </c:pt>
                <c:pt idx="1">
                  <c:v>0.65559411338604834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68-4BF5-9C4F-A2E7F5A9ECAD}"/>
            </c:ext>
          </c:extLst>
        </c:ser>
        <c:ser>
          <c:idx val="4"/>
          <c:order val="4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vypocet!$BB$75:$BB$76</c:f>
              <c:numCache>
                <c:formatCode>General</c:formatCode>
                <c:ptCount val="2"/>
                <c:pt idx="0">
                  <c:v>66</c:v>
                </c:pt>
                <c:pt idx="1">
                  <c:v>66</c:v>
                </c:pt>
              </c:numCache>
            </c:numRef>
          </c:xVal>
          <c:yVal>
            <c:numRef>
              <c:f>vypocet!$BC$75:$BC$76</c:f>
              <c:numCache>
                <c:formatCode>General</c:formatCode>
                <c:ptCount val="2"/>
                <c:pt idx="0">
                  <c:v>-0.34440588661395161</c:v>
                </c:pt>
                <c:pt idx="1">
                  <c:v>0.65559411338604834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68-4BF5-9C4F-A2E7F5A9E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4829263"/>
        <c:axId val="1"/>
      </c:scatterChart>
      <c:valAx>
        <c:axId val="1934829263"/>
        <c:scaling>
          <c:orientation val="minMax"/>
        </c:scaling>
        <c:delete val="0"/>
        <c:axPos val="t"/>
        <c:numFmt formatCode="0.00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  <c:minorUnit val="0.32339999999999997"/>
      </c:valAx>
      <c:valAx>
        <c:axId val="1"/>
        <c:scaling>
          <c:orientation val="maxMin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34829263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065009078970937E-2"/>
          <c:y val="7.8016765093921664E-2"/>
          <c:w val="0.92411339249525937"/>
          <c:h val="0.84754576624760369"/>
        </c:manualLayout>
      </c:layout>
      <c:scatterChart>
        <c:scatterStyle val="smoothMarker"/>
        <c:varyColors val="0"/>
        <c:ser>
          <c:idx val="2"/>
          <c:order val="0"/>
          <c:tx>
            <c:v>Mba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vypocet!$N$6:$N$26</c:f>
              <c:numCache>
                <c:formatCode>0.00</c:formatCode>
                <c:ptCount val="2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6.3000000000000007</c:v>
                </c:pt>
                <c:pt idx="8">
                  <c:v>7.2000000000000011</c:v>
                </c:pt>
                <c:pt idx="9">
                  <c:v>8.1000000000000014</c:v>
                </c:pt>
                <c:pt idx="10">
                  <c:v>9.0000000000000018</c:v>
                </c:pt>
                <c:pt idx="11">
                  <c:v>9.9000000000000021</c:v>
                </c:pt>
                <c:pt idx="12">
                  <c:v>10.800000000000002</c:v>
                </c:pt>
                <c:pt idx="13">
                  <c:v>11.700000000000003</c:v>
                </c:pt>
                <c:pt idx="14">
                  <c:v>12.600000000000003</c:v>
                </c:pt>
                <c:pt idx="15">
                  <c:v>13.500000000000004</c:v>
                </c:pt>
                <c:pt idx="16">
                  <c:v>14.400000000000004</c:v>
                </c:pt>
                <c:pt idx="17">
                  <c:v>15.300000000000004</c:v>
                </c:pt>
                <c:pt idx="18">
                  <c:v>16.200000000000003</c:v>
                </c:pt>
                <c:pt idx="19">
                  <c:v>17.100000000000001</c:v>
                </c:pt>
                <c:pt idx="20">
                  <c:v>18</c:v>
                </c:pt>
              </c:numCache>
            </c:numRef>
          </c:xVal>
          <c:yVal>
            <c:numRef>
              <c:f>vypocet!$AN$6:$AN$26</c:f>
              <c:numCache>
                <c:formatCode>0.000</c:formatCode>
                <c:ptCount val="21"/>
                <c:pt idx="0">
                  <c:v>0</c:v>
                </c:pt>
                <c:pt idx="1">
                  <c:v>8.1613636363636385E-3</c:v>
                </c:pt>
                <c:pt idx="2">
                  <c:v>1.6200000000000003E-2</c:v>
                </c:pt>
                <c:pt idx="3">
                  <c:v>2.3993181818181813E-2</c:v>
                </c:pt>
                <c:pt idx="4">
                  <c:v>3.1418181818181817E-2</c:v>
                </c:pt>
                <c:pt idx="5">
                  <c:v>3.8352272727272728E-2</c:v>
                </c:pt>
                <c:pt idx="6">
                  <c:v>4.4672727272727288E-2</c:v>
                </c:pt>
                <c:pt idx="7">
                  <c:v>5.0256818181818173E-2</c:v>
                </c:pt>
                <c:pt idx="8">
                  <c:v>5.498181818181818E-2</c:v>
                </c:pt>
                <c:pt idx="9">
                  <c:v>5.8725000000000006E-2</c:v>
                </c:pt>
                <c:pt idx="10">
                  <c:v>6.136363636363637E-2</c:v>
                </c:pt>
                <c:pt idx="11">
                  <c:v>6.2775000000000011E-2</c:v>
                </c:pt>
                <c:pt idx="12">
                  <c:v>6.2836363636363635E-2</c:v>
                </c:pt>
                <c:pt idx="13">
                  <c:v>6.1425E-2</c:v>
                </c:pt>
                <c:pt idx="14">
                  <c:v>5.8418181818181807E-2</c:v>
                </c:pt>
                <c:pt idx="15">
                  <c:v>5.3693181818181786E-2</c:v>
                </c:pt>
                <c:pt idx="16">
                  <c:v>4.7127272727272684E-2</c:v>
                </c:pt>
                <c:pt idx="17">
                  <c:v>3.8597727272727242E-2</c:v>
                </c:pt>
                <c:pt idx="18">
                  <c:v>2.798181818181816E-2</c:v>
                </c:pt>
                <c:pt idx="19">
                  <c:v>1.5156818181818162E-2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688-409A-B0C1-897A7B70C1F2}"/>
            </c:ext>
          </c:extLst>
        </c:ser>
        <c:ser>
          <c:idx val="0"/>
          <c:order val="1"/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vypocet!$N$26:$N$66</c:f>
              <c:numCache>
                <c:formatCode>0.00</c:formatCode>
                <c:ptCount val="41"/>
                <c:pt idx="0">
                  <c:v>18</c:v>
                </c:pt>
                <c:pt idx="1">
                  <c:v>19.5</c:v>
                </c:pt>
                <c:pt idx="2">
                  <c:v>21</c:v>
                </c:pt>
                <c:pt idx="3">
                  <c:v>22.5</c:v>
                </c:pt>
                <c:pt idx="4">
                  <c:v>24</c:v>
                </c:pt>
                <c:pt idx="5">
                  <c:v>25.5</c:v>
                </c:pt>
                <c:pt idx="6">
                  <c:v>27</c:v>
                </c:pt>
                <c:pt idx="7">
                  <c:v>28.5</c:v>
                </c:pt>
                <c:pt idx="8">
                  <c:v>30</c:v>
                </c:pt>
                <c:pt idx="9">
                  <c:v>31.5</c:v>
                </c:pt>
                <c:pt idx="10">
                  <c:v>33</c:v>
                </c:pt>
                <c:pt idx="11">
                  <c:v>34.5</c:v>
                </c:pt>
                <c:pt idx="12">
                  <c:v>36</c:v>
                </c:pt>
                <c:pt idx="13">
                  <c:v>37.5</c:v>
                </c:pt>
                <c:pt idx="14">
                  <c:v>39</c:v>
                </c:pt>
                <c:pt idx="15">
                  <c:v>40.5</c:v>
                </c:pt>
                <c:pt idx="16">
                  <c:v>42</c:v>
                </c:pt>
                <c:pt idx="17">
                  <c:v>43.5</c:v>
                </c:pt>
                <c:pt idx="18">
                  <c:v>45</c:v>
                </c:pt>
                <c:pt idx="19">
                  <c:v>46.5</c:v>
                </c:pt>
                <c:pt idx="20">
                  <c:v>48</c:v>
                </c:pt>
                <c:pt idx="21">
                  <c:v>48.9</c:v>
                </c:pt>
                <c:pt idx="22">
                  <c:v>49.8</c:v>
                </c:pt>
                <c:pt idx="23">
                  <c:v>50.699999999999996</c:v>
                </c:pt>
                <c:pt idx="24">
                  <c:v>51.599999999999994</c:v>
                </c:pt>
                <c:pt idx="25">
                  <c:v>52.499999999999993</c:v>
                </c:pt>
                <c:pt idx="26">
                  <c:v>53.399999999999991</c:v>
                </c:pt>
                <c:pt idx="27">
                  <c:v>54.29999999999999</c:v>
                </c:pt>
                <c:pt idx="28">
                  <c:v>55.199999999999989</c:v>
                </c:pt>
                <c:pt idx="29">
                  <c:v>56.099999999999987</c:v>
                </c:pt>
                <c:pt idx="30">
                  <c:v>56.999999999999986</c:v>
                </c:pt>
                <c:pt idx="31">
                  <c:v>57.899999999999984</c:v>
                </c:pt>
                <c:pt idx="32">
                  <c:v>58.799999999999983</c:v>
                </c:pt>
                <c:pt idx="33">
                  <c:v>59.699999999999982</c:v>
                </c:pt>
                <c:pt idx="34">
                  <c:v>60.59999999999998</c:v>
                </c:pt>
                <c:pt idx="35">
                  <c:v>61.499999999999979</c:v>
                </c:pt>
                <c:pt idx="36">
                  <c:v>62.399999999999977</c:v>
                </c:pt>
                <c:pt idx="37">
                  <c:v>63.299999999999976</c:v>
                </c:pt>
                <c:pt idx="38">
                  <c:v>64.199999999999974</c:v>
                </c:pt>
                <c:pt idx="39">
                  <c:v>65.09999999999998</c:v>
                </c:pt>
                <c:pt idx="40">
                  <c:v>65.999999999999986</c:v>
                </c:pt>
              </c:numCache>
            </c:numRef>
          </c:xVal>
          <c:yVal>
            <c:numRef>
              <c:f>vypocet!$AM$26:$AM$66</c:f>
              <c:numCache>
                <c:formatCode>0.000</c:formatCode>
                <c:ptCount val="41"/>
                <c:pt idx="0">
                  <c:v>1</c:v>
                </c:pt>
                <c:pt idx="1">
                  <c:v>0.96943181818181812</c:v>
                </c:pt>
                <c:pt idx="2">
                  <c:v>0.93272727272727263</c:v>
                </c:pt>
                <c:pt idx="3">
                  <c:v>0.89056818181818165</c:v>
                </c:pt>
                <c:pt idx="4">
                  <c:v>0.84363636363636341</c:v>
                </c:pt>
                <c:pt idx="5">
                  <c:v>0.79261363636363624</c:v>
                </c:pt>
                <c:pt idx="6">
                  <c:v>0.73818181818181794</c:v>
                </c:pt>
                <c:pt idx="7">
                  <c:v>0.68102272727272695</c:v>
                </c:pt>
                <c:pt idx="8">
                  <c:v>0.62181818181818138</c:v>
                </c:pt>
                <c:pt idx="9">
                  <c:v>0.56124999999999958</c:v>
                </c:pt>
                <c:pt idx="10">
                  <c:v>0.49999999999999956</c:v>
                </c:pt>
                <c:pt idx="11">
                  <c:v>0.43874999999999964</c:v>
                </c:pt>
                <c:pt idx="12">
                  <c:v>0.37818181818181779</c:v>
                </c:pt>
                <c:pt idx="13">
                  <c:v>0.31897727272727239</c:v>
                </c:pt>
                <c:pt idx="14">
                  <c:v>0.26181818181818145</c:v>
                </c:pt>
                <c:pt idx="15">
                  <c:v>0.20738636363636331</c:v>
                </c:pt>
                <c:pt idx="16">
                  <c:v>0.15636363636363604</c:v>
                </c:pt>
                <c:pt idx="17">
                  <c:v>0.10943181818181785</c:v>
                </c:pt>
                <c:pt idx="18">
                  <c:v>6.7272727272726957E-2</c:v>
                </c:pt>
                <c:pt idx="19">
                  <c:v>3.0568181818181515E-2</c:v>
                </c:pt>
                <c:pt idx="20">
                  <c:v>0</c:v>
                </c:pt>
                <c:pt idx="21">
                  <c:v>-1.5156818181818164E-2</c:v>
                </c:pt>
                <c:pt idx="22">
                  <c:v>-2.7981818181818146E-2</c:v>
                </c:pt>
                <c:pt idx="23">
                  <c:v>-3.8597727272727235E-2</c:v>
                </c:pt>
                <c:pt idx="24">
                  <c:v>-4.7127272727272684E-2</c:v>
                </c:pt>
                <c:pt idx="25">
                  <c:v>-5.3693181818181772E-2</c:v>
                </c:pt>
                <c:pt idx="26">
                  <c:v>-5.8418181818181779E-2</c:v>
                </c:pt>
                <c:pt idx="27">
                  <c:v>-6.1424999999999973E-2</c:v>
                </c:pt>
                <c:pt idx="28">
                  <c:v>-6.2836363636363621E-2</c:v>
                </c:pt>
                <c:pt idx="29">
                  <c:v>-6.2775000000000025E-2</c:v>
                </c:pt>
                <c:pt idx="30">
                  <c:v>-6.1363636363636391E-2</c:v>
                </c:pt>
                <c:pt idx="31">
                  <c:v>-5.8725000000000062E-2</c:v>
                </c:pt>
                <c:pt idx="32">
                  <c:v>-5.4981818181818257E-2</c:v>
                </c:pt>
                <c:pt idx="33">
                  <c:v>-5.0256818181818284E-2</c:v>
                </c:pt>
                <c:pt idx="34">
                  <c:v>-4.4672727272727412E-2</c:v>
                </c:pt>
                <c:pt idx="35">
                  <c:v>-3.8352272727272887E-2</c:v>
                </c:pt>
                <c:pt idx="36">
                  <c:v>-3.1418181818181998E-2</c:v>
                </c:pt>
                <c:pt idx="37">
                  <c:v>-2.3993181818182024E-2</c:v>
                </c:pt>
                <c:pt idx="38">
                  <c:v>-1.6200000000000228E-2</c:v>
                </c:pt>
                <c:pt idx="39">
                  <c:v>-8.1613636363638258E-3</c:v>
                </c:pt>
                <c:pt idx="40">
                  <c:v>-1.2717100100251791E-16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688-409A-B0C1-897A7B70C1F2}"/>
            </c:ext>
          </c:extLst>
        </c:ser>
        <c:ser>
          <c:idx val="1"/>
          <c:order val="2"/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vypocet!$AK$23:$AK$24</c:f>
              <c:numCache>
                <c:formatCode>0.00</c:formatCode>
                <c:ptCount val="2"/>
                <c:pt idx="0">
                  <c:v>18</c:v>
                </c:pt>
                <c:pt idx="1">
                  <c:v>18</c:v>
                </c:pt>
              </c:numCache>
            </c:numRef>
          </c:xVal>
          <c:yVal>
            <c:numRef>
              <c:f>vypocet!$AL$25:$AL$26</c:f>
              <c:numCache>
                <c:formatCode>0.000</c:formatCode>
                <c:ptCount val="2"/>
                <c:pt idx="0" formatCode="General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688-409A-B0C1-897A7B70C1F2}"/>
            </c:ext>
          </c:extLst>
        </c:ser>
        <c:ser>
          <c:idx val="3"/>
          <c:order val="3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vypocet!$AJ$68:$AJ$69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vypocet!$AM$68:$AM$69</c:f>
              <c:numCache>
                <c:formatCode>0.000</c:formatCode>
                <c:ptCount val="2"/>
                <c:pt idx="0">
                  <c:v>-6.2836363636363621E-2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688-409A-B0C1-897A7B70C1F2}"/>
            </c:ext>
          </c:extLst>
        </c:ser>
        <c:ser>
          <c:idx val="4"/>
          <c:order val="4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vypocet!$AJ$70:$AJ$71</c:f>
              <c:numCache>
                <c:formatCode>General</c:formatCode>
                <c:ptCount val="2"/>
                <c:pt idx="0">
                  <c:v>18</c:v>
                </c:pt>
                <c:pt idx="1">
                  <c:v>18</c:v>
                </c:pt>
              </c:numCache>
            </c:numRef>
          </c:xVal>
          <c:yVal>
            <c:numRef>
              <c:f>vypocet!$AM$70:$AM$71</c:f>
              <c:numCache>
                <c:formatCode>General</c:formatCode>
                <c:ptCount val="2"/>
                <c:pt idx="0">
                  <c:v>-6.2836363636363621E-2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688-409A-B0C1-897A7B70C1F2}"/>
            </c:ext>
          </c:extLst>
        </c:ser>
        <c:ser>
          <c:idx val="5"/>
          <c:order val="5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vypocet!$AJ$72:$AJ$73</c:f>
              <c:numCache>
                <c:formatCode>General</c:formatCode>
                <c:ptCount val="2"/>
                <c:pt idx="0">
                  <c:v>48</c:v>
                </c:pt>
                <c:pt idx="1">
                  <c:v>48</c:v>
                </c:pt>
              </c:numCache>
            </c:numRef>
          </c:xVal>
          <c:yVal>
            <c:numRef>
              <c:f>vypocet!$AM$72:$AM$73</c:f>
              <c:numCache>
                <c:formatCode>General</c:formatCode>
                <c:ptCount val="2"/>
                <c:pt idx="0">
                  <c:v>-6.2836363636363621E-2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688-409A-B0C1-897A7B70C1F2}"/>
            </c:ext>
          </c:extLst>
        </c:ser>
        <c:ser>
          <c:idx val="6"/>
          <c:order val="6"/>
          <c:spPr>
            <a:ln w="12700">
              <a:solidFill>
                <a:srgbClr val="333333"/>
              </a:solidFill>
              <a:prstDash val="lgDashDot"/>
            </a:ln>
          </c:spPr>
          <c:marker>
            <c:symbol val="none"/>
          </c:marker>
          <c:xVal>
            <c:numRef>
              <c:f>vypocet!$AJ$74:$AJ$75</c:f>
              <c:numCache>
                <c:formatCode>General</c:formatCode>
                <c:ptCount val="2"/>
                <c:pt idx="0">
                  <c:v>66</c:v>
                </c:pt>
                <c:pt idx="1">
                  <c:v>66</c:v>
                </c:pt>
              </c:numCache>
            </c:numRef>
          </c:xVal>
          <c:yVal>
            <c:numRef>
              <c:f>vypocet!$AM$74:$AM$75</c:f>
              <c:numCache>
                <c:formatCode>General</c:formatCode>
                <c:ptCount val="2"/>
                <c:pt idx="0">
                  <c:v>-6.2836363636363621E-2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6688-409A-B0C1-897A7B70C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4820111"/>
        <c:axId val="1"/>
      </c:scatterChart>
      <c:valAx>
        <c:axId val="1934820111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34820111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18</xdr:row>
      <xdr:rowOff>7620</xdr:rowOff>
    </xdr:from>
    <xdr:to>
      <xdr:col>3</xdr:col>
      <xdr:colOff>144780</xdr:colOff>
      <xdr:row>21</xdr:row>
      <xdr:rowOff>7620</xdr:rowOff>
    </xdr:to>
    <xdr:sp macro="" textlink="">
      <xdr:nvSpPr>
        <xdr:cNvPr id="8195" name="Oval 3">
          <a:extLst>
            <a:ext uri="{FF2B5EF4-FFF2-40B4-BE49-F238E27FC236}">
              <a16:creationId xmlns:a16="http://schemas.microsoft.com/office/drawing/2014/main" id="{B90C7F04-F88A-4ADB-AFCB-3BE24F2BD432}"/>
            </a:ext>
          </a:extLst>
        </xdr:cNvPr>
        <xdr:cNvSpPr>
          <a:spLocks noChangeArrowheads="1"/>
        </xdr:cNvSpPr>
      </xdr:nvSpPr>
      <xdr:spPr bwMode="auto">
        <a:xfrm>
          <a:off x="152400" y="3070860"/>
          <a:ext cx="541020" cy="52578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106680</xdr:colOff>
      <xdr:row>52</xdr:row>
      <xdr:rowOff>99060</xdr:rowOff>
    </xdr:from>
    <xdr:to>
      <xdr:col>21</xdr:col>
      <xdr:colOff>121920</xdr:colOff>
      <xdr:row>52</xdr:row>
      <xdr:rowOff>99060</xdr:rowOff>
    </xdr:to>
    <xdr:sp macro="" textlink="">
      <xdr:nvSpPr>
        <xdr:cNvPr id="8196" name="Line 4">
          <a:extLst>
            <a:ext uri="{FF2B5EF4-FFF2-40B4-BE49-F238E27FC236}">
              <a16:creationId xmlns:a16="http://schemas.microsoft.com/office/drawing/2014/main" id="{A05EF482-9A89-4383-80C1-7152F53130D2}"/>
            </a:ext>
          </a:extLst>
        </xdr:cNvPr>
        <xdr:cNvSpPr>
          <a:spLocks noChangeShapeType="1"/>
        </xdr:cNvSpPr>
      </xdr:nvSpPr>
      <xdr:spPr bwMode="auto">
        <a:xfrm>
          <a:off x="3764280" y="9151620"/>
          <a:ext cx="1981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</xdr:colOff>
      <xdr:row>54</xdr:row>
      <xdr:rowOff>160020</xdr:rowOff>
    </xdr:from>
    <xdr:to>
      <xdr:col>31</xdr:col>
      <xdr:colOff>144780</xdr:colOff>
      <xdr:row>68</xdr:row>
      <xdr:rowOff>160020</xdr:rowOff>
    </xdr:to>
    <xdr:graphicFrame macro="">
      <xdr:nvGraphicFramePr>
        <xdr:cNvPr id="8197" name="graf 5">
          <a:extLst>
            <a:ext uri="{FF2B5EF4-FFF2-40B4-BE49-F238E27FC236}">
              <a16:creationId xmlns:a16="http://schemas.microsoft.com/office/drawing/2014/main" id="{D3272772-EF2D-4E69-92FD-FFC4BEEE11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175260</xdr:colOff>
      <xdr:row>71</xdr:row>
      <xdr:rowOff>7620</xdr:rowOff>
    </xdr:from>
    <xdr:to>
      <xdr:col>3</xdr:col>
      <xdr:colOff>160020</xdr:colOff>
      <xdr:row>74</xdr:row>
      <xdr:rowOff>7620</xdr:rowOff>
    </xdr:to>
    <xdr:sp macro="" textlink="">
      <xdr:nvSpPr>
        <xdr:cNvPr id="8199" name="Oval 7">
          <a:extLst>
            <a:ext uri="{FF2B5EF4-FFF2-40B4-BE49-F238E27FC236}">
              <a16:creationId xmlns:a16="http://schemas.microsoft.com/office/drawing/2014/main" id="{4FFEAE5F-9B5E-408D-98EC-4EA1D67F4D48}"/>
            </a:ext>
          </a:extLst>
        </xdr:cNvPr>
        <xdr:cNvSpPr>
          <a:spLocks noChangeArrowheads="1"/>
        </xdr:cNvSpPr>
      </xdr:nvSpPr>
      <xdr:spPr bwMode="auto">
        <a:xfrm>
          <a:off x="175260" y="12245340"/>
          <a:ext cx="533400" cy="52578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106680</xdr:colOff>
      <xdr:row>105</xdr:row>
      <xdr:rowOff>99060</xdr:rowOff>
    </xdr:from>
    <xdr:to>
      <xdr:col>21</xdr:col>
      <xdr:colOff>121920</xdr:colOff>
      <xdr:row>105</xdr:row>
      <xdr:rowOff>99060</xdr:rowOff>
    </xdr:to>
    <xdr:sp macro="" textlink="">
      <xdr:nvSpPr>
        <xdr:cNvPr id="8200" name="Line 8">
          <a:extLst>
            <a:ext uri="{FF2B5EF4-FFF2-40B4-BE49-F238E27FC236}">
              <a16:creationId xmlns:a16="http://schemas.microsoft.com/office/drawing/2014/main" id="{AA0CE0B7-EECD-4B5B-A6E5-A3F25C04C59B}"/>
            </a:ext>
          </a:extLst>
        </xdr:cNvPr>
        <xdr:cNvSpPr>
          <a:spLocks noChangeShapeType="1"/>
        </xdr:cNvSpPr>
      </xdr:nvSpPr>
      <xdr:spPr bwMode="auto">
        <a:xfrm>
          <a:off x="3764280" y="18326100"/>
          <a:ext cx="1981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108</xdr:row>
      <xdr:rowOff>22860</xdr:rowOff>
    </xdr:from>
    <xdr:to>
      <xdr:col>31</xdr:col>
      <xdr:colOff>137160</xdr:colOff>
      <xdr:row>119</xdr:row>
      <xdr:rowOff>45720</xdr:rowOff>
    </xdr:to>
    <xdr:graphicFrame macro="">
      <xdr:nvGraphicFramePr>
        <xdr:cNvPr id="8201" name="graf 9">
          <a:extLst>
            <a:ext uri="{FF2B5EF4-FFF2-40B4-BE49-F238E27FC236}">
              <a16:creationId xmlns:a16="http://schemas.microsoft.com/office/drawing/2014/main" id="{51C275F6-EBCD-4AF0-815B-6A3887375F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175260</xdr:colOff>
      <xdr:row>121</xdr:row>
      <xdr:rowOff>7620</xdr:rowOff>
    </xdr:from>
    <xdr:to>
      <xdr:col>3</xdr:col>
      <xdr:colOff>160020</xdr:colOff>
      <xdr:row>124</xdr:row>
      <xdr:rowOff>7620</xdr:rowOff>
    </xdr:to>
    <xdr:sp macro="" textlink="">
      <xdr:nvSpPr>
        <xdr:cNvPr id="8202" name="Oval 10">
          <a:extLst>
            <a:ext uri="{FF2B5EF4-FFF2-40B4-BE49-F238E27FC236}">
              <a16:creationId xmlns:a16="http://schemas.microsoft.com/office/drawing/2014/main" id="{76340C0E-F255-42C9-81C4-D4DDE2DFAADA}"/>
            </a:ext>
          </a:extLst>
        </xdr:cNvPr>
        <xdr:cNvSpPr>
          <a:spLocks noChangeArrowheads="1"/>
        </xdr:cNvSpPr>
      </xdr:nvSpPr>
      <xdr:spPr bwMode="auto">
        <a:xfrm>
          <a:off x="175260" y="20916900"/>
          <a:ext cx="533400" cy="52578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106680</xdr:colOff>
      <xdr:row>155</xdr:row>
      <xdr:rowOff>99060</xdr:rowOff>
    </xdr:from>
    <xdr:to>
      <xdr:col>21</xdr:col>
      <xdr:colOff>121920</xdr:colOff>
      <xdr:row>155</xdr:row>
      <xdr:rowOff>99060</xdr:rowOff>
    </xdr:to>
    <xdr:sp macro="" textlink="">
      <xdr:nvSpPr>
        <xdr:cNvPr id="8203" name="Line 11">
          <a:extLst>
            <a:ext uri="{FF2B5EF4-FFF2-40B4-BE49-F238E27FC236}">
              <a16:creationId xmlns:a16="http://schemas.microsoft.com/office/drawing/2014/main" id="{94E3F427-3962-4E2E-8D9A-4EDFD7F0EA8F}"/>
            </a:ext>
          </a:extLst>
        </xdr:cNvPr>
        <xdr:cNvSpPr>
          <a:spLocks noChangeShapeType="1"/>
        </xdr:cNvSpPr>
      </xdr:nvSpPr>
      <xdr:spPr bwMode="auto">
        <a:xfrm>
          <a:off x="3764280" y="27005280"/>
          <a:ext cx="1981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158</xdr:row>
      <xdr:rowOff>22860</xdr:rowOff>
    </xdr:from>
    <xdr:to>
      <xdr:col>31</xdr:col>
      <xdr:colOff>114300</xdr:colOff>
      <xdr:row>175</xdr:row>
      <xdr:rowOff>38100</xdr:rowOff>
    </xdr:to>
    <xdr:graphicFrame macro="">
      <xdr:nvGraphicFramePr>
        <xdr:cNvPr id="8204" name="graf 12">
          <a:extLst>
            <a:ext uri="{FF2B5EF4-FFF2-40B4-BE49-F238E27FC236}">
              <a16:creationId xmlns:a16="http://schemas.microsoft.com/office/drawing/2014/main" id="{99DD98A3-1A8E-4779-97F7-8BAC4F207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114300</xdr:colOff>
      <xdr:row>176</xdr:row>
      <xdr:rowOff>7620</xdr:rowOff>
    </xdr:from>
    <xdr:to>
      <xdr:col>3</xdr:col>
      <xdr:colOff>106680</xdr:colOff>
      <xdr:row>179</xdr:row>
      <xdr:rowOff>7620</xdr:rowOff>
    </xdr:to>
    <xdr:sp macro="" textlink="">
      <xdr:nvSpPr>
        <xdr:cNvPr id="8205" name="Oval 13">
          <a:extLst>
            <a:ext uri="{FF2B5EF4-FFF2-40B4-BE49-F238E27FC236}">
              <a16:creationId xmlns:a16="http://schemas.microsoft.com/office/drawing/2014/main" id="{DEC4B430-9409-4425-A2BD-F3B9AA664605}"/>
            </a:ext>
          </a:extLst>
        </xdr:cNvPr>
        <xdr:cNvSpPr>
          <a:spLocks noChangeArrowheads="1"/>
        </xdr:cNvSpPr>
      </xdr:nvSpPr>
      <xdr:spPr bwMode="auto">
        <a:xfrm>
          <a:off x="114300" y="30434280"/>
          <a:ext cx="541020" cy="52578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106680</xdr:colOff>
      <xdr:row>210</xdr:row>
      <xdr:rowOff>99060</xdr:rowOff>
    </xdr:from>
    <xdr:to>
      <xdr:col>21</xdr:col>
      <xdr:colOff>121920</xdr:colOff>
      <xdr:row>210</xdr:row>
      <xdr:rowOff>99060</xdr:rowOff>
    </xdr:to>
    <xdr:sp macro="" textlink="">
      <xdr:nvSpPr>
        <xdr:cNvPr id="8206" name="Line 14">
          <a:extLst>
            <a:ext uri="{FF2B5EF4-FFF2-40B4-BE49-F238E27FC236}">
              <a16:creationId xmlns:a16="http://schemas.microsoft.com/office/drawing/2014/main" id="{E456ED51-F04E-4B15-A08D-0B768D7BDAD3}"/>
            </a:ext>
          </a:extLst>
        </xdr:cNvPr>
        <xdr:cNvSpPr>
          <a:spLocks noChangeShapeType="1"/>
        </xdr:cNvSpPr>
      </xdr:nvSpPr>
      <xdr:spPr bwMode="auto">
        <a:xfrm>
          <a:off x="3764280" y="36492180"/>
          <a:ext cx="1981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213</xdr:row>
      <xdr:rowOff>38100</xdr:rowOff>
    </xdr:from>
    <xdr:to>
      <xdr:col>31</xdr:col>
      <xdr:colOff>99060</xdr:colOff>
      <xdr:row>226</xdr:row>
      <xdr:rowOff>121920</xdr:rowOff>
    </xdr:to>
    <xdr:graphicFrame macro="">
      <xdr:nvGraphicFramePr>
        <xdr:cNvPr id="8207" name="graf 15">
          <a:extLst>
            <a:ext uri="{FF2B5EF4-FFF2-40B4-BE49-F238E27FC236}">
              <a16:creationId xmlns:a16="http://schemas.microsoft.com/office/drawing/2014/main" id="{EF846114-9802-4C56-99B9-5D90F28E8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114300</xdr:colOff>
      <xdr:row>227</xdr:row>
      <xdr:rowOff>38100</xdr:rowOff>
    </xdr:from>
    <xdr:to>
      <xdr:col>3</xdr:col>
      <xdr:colOff>106680</xdr:colOff>
      <xdr:row>230</xdr:row>
      <xdr:rowOff>22860</xdr:rowOff>
    </xdr:to>
    <xdr:sp macro="" textlink="">
      <xdr:nvSpPr>
        <xdr:cNvPr id="8208" name="Oval 16">
          <a:extLst>
            <a:ext uri="{FF2B5EF4-FFF2-40B4-BE49-F238E27FC236}">
              <a16:creationId xmlns:a16="http://schemas.microsoft.com/office/drawing/2014/main" id="{E75E767C-97A4-46AB-8214-695CD505A404}"/>
            </a:ext>
          </a:extLst>
        </xdr:cNvPr>
        <xdr:cNvSpPr>
          <a:spLocks noChangeArrowheads="1"/>
        </xdr:cNvSpPr>
      </xdr:nvSpPr>
      <xdr:spPr bwMode="auto">
        <a:xfrm>
          <a:off x="114300" y="39281100"/>
          <a:ext cx="541020" cy="55626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106680</xdr:colOff>
      <xdr:row>261</xdr:row>
      <xdr:rowOff>91440</xdr:rowOff>
    </xdr:from>
    <xdr:to>
      <xdr:col>21</xdr:col>
      <xdr:colOff>121920</xdr:colOff>
      <xdr:row>261</xdr:row>
      <xdr:rowOff>91440</xdr:rowOff>
    </xdr:to>
    <xdr:sp macro="" textlink="">
      <xdr:nvSpPr>
        <xdr:cNvPr id="8209" name="Line 17">
          <a:extLst>
            <a:ext uri="{FF2B5EF4-FFF2-40B4-BE49-F238E27FC236}">
              <a16:creationId xmlns:a16="http://schemas.microsoft.com/office/drawing/2014/main" id="{F3E8008B-81CA-4255-BAD5-AFC8ABE009AB}"/>
            </a:ext>
          </a:extLst>
        </xdr:cNvPr>
        <xdr:cNvSpPr>
          <a:spLocks noChangeShapeType="1"/>
        </xdr:cNvSpPr>
      </xdr:nvSpPr>
      <xdr:spPr bwMode="auto">
        <a:xfrm>
          <a:off x="3764280" y="45377100"/>
          <a:ext cx="1981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264</xdr:row>
      <xdr:rowOff>7620</xdr:rowOff>
    </xdr:from>
    <xdr:to>
      <xdr:col>31</xdr:col>
      <xdr:colOff>152400</xdr:colOff>
      <xdr:row>276</xdr:row>
      <xdr:rowOff>144780</xdr:rowOff>
    </xdr:to>
    <xdr:graphicFrame macro="">
      <xdr:nvGraphicFramePr>
        <xdr:cNvPr id="8210" name="graf 18">
          <a:extLst>
            <a:ext uri="{FF2B5EF4-FFF2-40B4-BE49-F238E27FC236}">
              <a16:creationId xmlns:a16="http://schemas.microsoft.com/office/drawing/2014/main" id="{422C69D6-F573-482D-B169-C6AB70541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</xdr:colOff>
      <xdr:row>397</xdr:row>
      <xdr:rowOff>7620</xdr:rowOff>
    </xdr:from>
    <xdr:to>
      <xdr:col>3</xdr:col>
      <xdr:colOff>144780</xdr:colOff>
      <xdr:row>400</xdr:row>
      <xdr:rowOff>7620</xdr:rowOff>
    </xdr:to>
    <xdr:sp macro="" textlink="">
      <xdr:nvSpPr>
        <xdr:cNvPr id="8211" name="Oval 19">
          <a:extLst>
            <a:ext uri="{FF2B5EF4-FFF2-40B4-BE49-F238E27FC236}">
              <a16:creationId xmlns:a16="http://schemas.microsoft.com/office/drawing/2014/main" id="{7E2988B3-30C3-4AA1-A534-C9E102243893}"/>
            </a:ext>
          </a:extLst>
        </xdr:cNvPr>
        <xdr:cNvSpPr>
          <a:spLocks noChangeArrowheads="1"/>
        </xdr:cNvSpPr>
      </xdr:nvSpPr>
      <xdr:spPr bwMode="auto">
        <a:xfrm>
          <a:off x="152400" y="48668940"/>
          <a:ext cx="541020" cy="55626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30480</xdr:colOff>
      <xdr:row>444</xdr:row>
      <xdr:rowOff>7620</xdr:rowOff>
    </xdr:from>
    <xdr:to>
      <xdr:col>4</xdr:col>
      <xdr:colOff>22860</xdr:colOff>
      <xdr:row>447</xdr:row>
      <xdr:rowOff>7620</xdr:rowOff>
    </xdr:to>
    <xdr:sp macro="" textlink="">
      <xdr:nvSpPr>
        <xdr:cNvPr id="8213" name="Oval 21">
          <a:extLst>
            <a:ext uri="{FF2B5EF4-FFF2-40B4-BE49-F238E27FC236}">
              <a16:creationId xmlns:a16="http://schemas.microsoft.com/office/drawing/2014/main" id="{DDE36DED-1E01-4202-B312-E1FFCD56289B}"/>
            </a:ext>
          </a:extLst>
        </xdr:cNvPr>
        <xdr:cNvSpPr>
          <a:spLocks noChangeArrowheads="1"/>
        </xdr:cNvSpPr>
      </xdr:nvSpPr>
      <xdr:spPr bwMode="auto">
        <a:xfrm>
          <a:off x="213360" y="56669940"/>
          <a:ext cx="541020" cy="55626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22860</xdr:colOff>
      <xdr:row>474</xdr:row>
      <xdr:rowOff>45720</xdr:rowOff>
    </xdr:from>
    <xdr:to>
      <xdr:col>32</xdr:col>
      <xdr:colOff>0</xdr:colOff>
      <xdr:row>487</xdr:row>
      <xdr:rowOff>30480</xdr:rowOff>
    </xdr:to>
    <xdr:graphicFrame macro="">
      <xdr:nvGraphicFramePr>
        <xdr:cNvPr id="8214" name="graf 22">
          <a:extLst>
            <a:ext uri="{FF2B5EF4-FFF2-40B4-BE49-F238E27FC236}">
              <a16:creationId xmlns:a16="http://schemas.microsoft.com/office/drawing/2014/main" id="{870DE66A-422F-4A74-AB5B-E0964F1FA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30480</xdr:colOff>
      <xdr:row>490</xdr:row>
      <xdr:rowOff>7620</xdr:rowOff>
    </xdr:from>
    <xdr:to>
      <xdr:col>4</xdr:col>
      <xdr:colOff>22860</xdr:colOff>
      <xdr:row>493</xdr:row>
      <xdr:rowOff>7620</xdr:rowOff>
    </xdr:to>
    <xdr:sp macro="" textlink="">
      <xdr:nvSpPr>
        <xdr:cNvPr id="8215" name="Oval 23">
          <a:extLst>
            <a:ext uri="{FF2B5EF4-FFF2-40B4-BE49-F238E27FC236}">
              <a16:creationId xmlns:a16="http://schemas.microsoft.com/office/drawing/2014/main" id="{C82038C4-87DA-4A54-B6BF-34CFE9FFAD38}"/>
            </a:ext>
          </a:extLst>
        </xdr:cNvPr>
        <xdr:cNvSpPr>
          <a:spLocks noChangeArrowheads="1"/>
        </xdr:cNvSpPr>
      </xdr:nvSpPr>
      <xdr:spPr bwMode="auto">
        <a:xfrm>
          <a:off x="213360" y="64663320"/>
          <a:ext cx="541020" cy="55626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22860</xdr:colOff>
      <xdr:row>521</xdr:row>
      <xdr:rowOff>45720</xdr:rowOff>
    </xdr:from>
    <xdr:to>
      <xdr:col>32</xdr:col>
      <xdr:colOff>0</xdr:colOff>
      <xdr:row>534</xdr:row>
      <xdr:rowOff>30480</xdr:rowOff>
    </xdr:to>
    <xdr:graphicFrame macro="">
      <xdr:nvGraphicFramePr>
        <xdr:cNvPr id="8216" name="graf 24">
          <a:extLst>
            <a:ext uri="{FF2B5EF4-FFF2-40B4-BE49-F238E27FC236}">
              <a16:creationId xmlns:a16="http://schemas.microsoft.com/office/drawing/2014/main" id="{D6D5E5FD-1C40-41C1-9B71-1375F30E33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30480</xdr:colOff>
      <xdr:row>428</xdr:row>
      <xdr:rowOff>0</xdr:rowOff>
    </xdr:from>
    <xdr:to>
      <xdr:col>31</xdr:col>
      <xdr:colOff>152400</xdr:colOff>
      <xdr:row>442</xdr:row>
      <xdr:rowOff>7620</xdr:rowOff>
    </xdr:to>
    <xdr:graphicFrame macro="">
      <xdr:nvGraphicFramePr>
        <xdr:cNvPr id="8217" name="graf 25">
          <a:extLst>
            <a:ext uri="{FF2B5EF4-FFF2-40B4-BE49-F238E27FC236}">
              <a16:creationId xmlns:a16="http://schemas.microsoft.com/office/drawing/2014/main" id="{D36EDE58-668E-4887-9FA3-F7B58D48EC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4</xdr:row>
      <xdr:rowOff>0</xdr:rowOff>
    </xdr:from>
    <xdr:to>
      <xdr:col>31</xdr:col>
      <xdr:colOff>106680</xdr:colOff>
      <xdr:row>11</xdr:row>
      <xdr:rowOff>38100</xdr:rowOff>
    </xdr:to>
    <xdr:pic>
      <xdr:nvPicPr>
        <xdr:cNvPr id="8218" name="Picture 26">
          <a:extLst>
            <a:ext uri="{FF2B5EF4-FFF2-40B4-BE49-F238E27FC236}">
              <a16:creationId xmlns:a16="http://schemas.microsoft.com/office/drawing/2014/main" id="{5F951DDE-17F7-4699-8A69-7BDEBCE4D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280"/>
          <a:ext cx="5775960" cy="1211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158436</xdr:colOff>
      <xdr:row>278</xdr:row>
      <xdr:rowOff>37723</xdr:rowOff>
    </xdr:from>
    <xdr:to>
      <xdr:col>3</xdr:col>
      <xdr:colOff>150816</xdr:colOff>
      <xdr:row>281</xdr:row>
      <xdr:rowOff>22483</xdr:rowOff>
    </xdr:to>
    <xdr:sp macro="" textlink="">
      <xdr:nvSpPr>
        <xdr:cNvPr id="24" name="Oval 16">
          <a:extLst>
            <a:ext uri="{FF2B5EF4-FFF2-40B4-BE49-F238E27FC236}">
              <a16:creationId xmlns:a16="http://schemas.microsoft.com/office/drawing/2014/main" id="{0698AE01-715D-42B4-A8C8-18FAA08323F6}"/>
            </a:ext>
          </a:extLst>
        </xdr:cNvPr>
        <xdr:cNvSpPr>
          <a:spLocks noChangeArrowheads="1"/>
        </xdr:cNvSpPr>
      </xdr:nvSpPr>
      <xdr:spPr bwMode="auto">
        <a:xfrm>
          <a:off x="158436" y="47757030"/>
          <a:ext cx="535588" cy="550602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106680</xdr:colOff>
      <xdr:row>312</xdr:row>
      <xdr:rowOff>91440</xdr:rowOff>
    </xdr:from>
    <xdr:to>
      <xdr:col>21</xdr:col>
      <xdr:colOff>121920</xdr:colOff>
      <xdr:row>312</xdr:row>
      <xdr:rowOff>91440</xdr:rowOff>
    </xdr:to>
    <xdr:sp macro="" textlink="">
      <xdr:nvSpPr>
        <xdr:cNvPr id="25" name="Line 17">
          <a:extLst>
            <a:ext uri="{FF2B5EF4-FFF2-40B4-BE49-F238E27FC236}">
              <a16:creationId xmlns:a16="http://schemas.microsoft.com/office/drawing/2014/main" id="{B23BE915-2210-4330-B4E0-127A9A32FDB4}"/>
            </a:ext>
          </a:extLst>
        </xdr:cNvPr>
        <xdr:cNvSpPr>
          <a:spLocks noChangeShapeType="1"/>
        </xdr:cNvSpPr>
      </xdr:nvSpPr>
      <xdr:spPr bwMode="auto">
        <a:xfrm>
          <a:off x="3728066" y="44928727"/>
          <a:ext cx="19630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315</xdr:row>
      <xdr:rowOff>0</xdr:rowOff>
    </xdr:from>
    <xdr:to>
      <xdr:col>31</xdr:col>
      <xdr:colOff>152400</xdr:colOff>
      <xdr:row>327</xdr:row>
      <xdr:rowOff>137161</xdr:rowOff>
    </xdr:to>
    <xdr:graphicFrame macro="">
      <xdr:nvGraphicFramePr>
        <xdr:cNvPr id="26" name="graf 18">
          <a:extLst>
            <a:ext uri="{FF2B5EF4-FFF2-40B4-BE49-F238E27FC236}">
              <a16:creationId xmlns:a16="http://schemas.microsoft.com/office/drawing/2014/main" id="{E01E361C-DFE8-43A1-92E1-2FC0FD1163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135802</xdr:colOff>
      <xdr:row>329</xdr:row>
      <xdr:rowOff>30178</xdr:rowOff>
    </xdr:from>
    <xdr:to>
      <xdr:col>3</xdr:col>
      <xdr:colOff>128182</xdr:colOff>
      <xdr:row>332</xdr:row>
      <xdr:rowOff>14939</xdr:rowOff>
    </xdr:to>
    <xdr:sp macro="" textlink="">
      <xdr:nvSpPr>
        <xdr:cNvPr id="27" name="Oval 16">
          <a:extLst>
            <a:ext uri="{FF2B5EF4-FFF2-40B4-BE49-F238E27FC236}">
              <a16:creationId xmlns:a16="http://schemas.microsoft.com/office/drawing/2014/main" id="{54EE29C9-90DF-4B33-B582-C524852CB128}"/>
            </a:ext>
          </a:extLst>
        </xdr:cNvPr>
        <xdr:cNvSpPr>
          <a:spLocks noChangeArrowheads="1"/>
        </xdr:cNvSpPr>
      </xdr:nvSpPr>
      <xdr:spPr bwMode="auto">
        <a:xfrm>
          <a:off x="135802" y="56470990"/>
          <a:ext cx="535588" cy="550602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106680</xdr:colOff>
      <xdr:row>363</xdr:row>
      <xdr:rowOff>91440</xdr:rowOff>
    </xdr:from>
    <xdr:to>
      <xdr:col>21</xdr:col>
      <xdr:colOff>121920</xdr:colOff>
      <xdr:row>363</xdr:row>
      <xdr:rowOff>91440</xdr:rowOff>
    </xdr:to>
    <xdr:sp macro="" textlink="">
      <xdr:nvSpPr>
        <xdr:cNvPr id="28" name="Line 17">
          <a:extLst>
            <a:ext uri="{FF2B5EF4-FFF2-40B4-BE49-F238E27FC236}">
              <a16:creationId xmlns:a16="http://schemas.microsoft.com/office/drawing/2014/main" id="{886A5698-A192-43DB-A20B-623A14D6B6A6}"/>
            </a:ext>
          </a:extLst>
        </xdr:cNvPr>
        <xdr:cNvSpPr>
          <a:spLocks noChangeShapeType="1"/>
        </xdr:cNvSpPr>
      </xdr:nvSpPr>
      <xdr:spPr bwMode="auto">
        <a:xfrm>
          <a:off x="3728066" y="53650232"/>
          <a:ext cx="19630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365</xdr:row>
      <xdr:rowOff>0</xdr:rowOff>
    </xdr:from>
    <xdr:to>
      <xdr:col>31</xdr:col>
      <xdr:colOff>99060</xdr:colOff>
      <xdr:row>378</xdr:row>
      <xdr:rowOff>83820</xdr:rowOff>
    </xdr:to>
    <xdr:graphicFrame macro="">
      <xdr:nvGraphicFramePr>
        <xdr:cNvPr id="29" name="graf 15">
          <a:extLst>
            <a:ext uri="{FF2B5EF4-FFF2-40B4-BE49-F238E27FC236}">
              <a16:creationId xmlns:a16="http://schemas.microsoft.com/office/drawing/2014/main" id="{FCBC7E3D-67AC-44EC-8513-62085EB66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12</xdr:row>
      <xdr:rowOff>0</xdr:rowOff>
    </xdr:from>
    <xdr:to>
      <xdr:col>11</xdr:col>
      <xdr:colOff>525780</xdr:colOff>
      <xdr:row>28</xdr:row>
      <xdr:rowOff>22860</xdr:rowOff>
    </xdr:to>
    <xdr:graphicFrame macro="">
      <xdr:nvGraphicFramePr>
        <xdr:cNvPr id="1025" name="graf 1">
          <a:extLst>
            <a:ext uri="{FF2B5EF4-FFF2-40B4-BE49-F238E27FC236}">
              <a16:creationId xmlns:a16="http://schemas.microsoft.com/office/drawing/2014/main" id="{2A70D932-C814-424A-9122-6E0B35611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160020</xdr:colOff>
      <xdr:row>28</xdr:row>
      <xdr:rowOff>137160</xdr:rowOff>
    </xdr:from>
    <xdr:to>
      <xdr:col>11</xdr:col>
      <xdr:colOff>525780</xdr:colOff>
      <xdr:row>45</xdr:row>
      <xdr:rowOff>0</xdr:rowOff>
    </xdr:to>
    <xdr:graphicFrame macro="">
      <xdr:nvGraphicFramePr>
        <xdr:cNvPr id="1026" name="graf 2">
          <a:extLst>
            <a:ext uri="{FF2B5EF4-FFF2-40B4-BE49-F238E27FC236}">
              <a16:creationId xmlns:a16="http://schemas.microsoft.com/office/drawing/2014/main" id="{F4AB16E0-CBA2-430A-B82F-3E13FED15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175260</xdr:colOff>
      <xdr:row>45</xdr:row>
      <xdr:rowOff>22860</xdr:rowOff>
    </xdr:from>
    <xdr:to>
      <xdr:col>11</xdr:col>
      <xdr:colOff>541020</xdr:colOff>
      <xdr:row>62</xdr:row>
      <xdr:rowOff>121920</xdr:rowOff>
    </xdr:to>
    <xdr:graphicFrame macro="">
      <xdr:nvGraphicFramePr>
        <xdr:cNvPr id="1027" name="graf 3">
          <a:extLst>
            <a:ext uri="{FF2B5EF4-FFF2-40B4-BE49-F238E27FC236}">
              <a16:creationId xmlns:a16="http://schemas.microsoft.com/office/drawing/2014/main" id="{7470CDF6-EE78-4ABD-B766-660F0F4DA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144780</xdr:colOff>
      <xdr:row>62</xdr:row>
      <xdr:rowOff>144780</xdr:rowOff>
    </xdr:from>
    <xdr:to>
      <xdr:col>11</xdr:col>
      <xdr:colOff>525780</xdr:colOff>
      <xdr:row>79</xdr:row>
      <xdr:rowOff>30480</xdr:rowOff>
    </xdr:to>
    <xdr:graphicFrame macro="">
      <xdr:nvGraphicFramePr>
        <xdr:cNvPr id="1028" name="graf 4">
          <a:extLst>
            <a:ext uri="{FF2B5EF4-FFF2-40B4-BE49-F238E27FC236}">
              <a16:creationId xmlns:a16="http://schemas.microsoft.com/office/drawing/2014/main" id="{7990C12A-F67B-46DC-B62B-95680BDEE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144780</xdr:colOff>
      <xdr:row>79</xdr:row>
      <xdr:rowOff>99060</xdr:rowOff>
    </xdr:from>
    <xdr:to>
      <xdr:col>11</xdr:col>
      <xdr:colOff>533400</xdr:colOff>
      <xdr:row>95</xdr:row>
      <xdr:rowOff>160020</xdr:rowOff>
    </xdr:to>
    <xdr:graphicFrame macro="">
      <xdr:nvGraphicFramePr>
        <xdr:cNvPr id="1029" name="graf 5">
          <a:extLst>
            <a:ext uri="{FF2B5EF4-FFF2-40B4-BE49-F238E27FC236}">
              <a16:creationId xmlns:a16="http://schemas.microsoft.com/office/drawing/2014/main" id="{6963FC0B-9A78-4446-A7E8-DAA8FAC0E1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137160</xdr:colOff>
      <xdr:row>96</xdr:row>
      <xdr:rowOff>60960</xdr:rowOff>
    </xdr:from>
    <xdr:to>
      <xdr:col>11</xdr:col>
      <xdr:colOff>533400</xdr:colOff>
      <xdr:row>112</xdr:row>
      <xdr:rowOff>129540</xdr:rowOff>
    </xdr:to>
    <xdr:graphicFrame macro="">
      <xdr:nvGraphicFramePr>
        <xdr:cNvPr id="1030" name="graf 6">
          <a:extLst>
            <a:ext uri="{FF2B5EF4-FFF2-40B4-BE49-F238E27FC236}">
              <a16:creationId xmlns:a16="http://schemas.microsoft.com/office/drawing/2014/main" id="{AAAAD44C-330F-41FC-9F85-ABC0EEA0A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83820</xdr:colOff>
      <xdr:row>113</xdr:row>
      <xdr:rowOff>7620</xdr:rowOff>
    </xdr:from>
    <xdr:to>
      <xdr:col>11</xdr:col>
      <xdr:colOff>525780</xdr:colOff>
      <xdr:row>130</xdr:row>
      <xdr:rowOff>38100</xdr:rowOff>
    </xdr:to>
    <xdr:graphicFrame macro="">
      <xdr:nvGraphicFramePr>
        <xdr:cNvPr id="1031" name="graf 7">
          <a:extLst>
            <a:ext uri="{FF2B5EF4-FFF2-40B4-BE49-F238E27FC236}">
              <a16:creationId xmlns:a16="http://schemas.microsoft.com/office/drawing/2014/main" id="{682F865E-2944-4BE8-94CA-9C942F0CD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106680</xdr:colOff>
      <xdr:row>130</xdr:row>
      <xdr:rowOff>106680</xdr:rowOff>
    </xdr:from>
    <xdr:to>
      <xdr:col>11</xdr:col>
      <xdr:colOff>502920</xdr:colOff>
      <xdr:row>148</xdr:row>
      <xdr:rowOff>91440</xdr:rowOff>
    </xdr:to>
    <xdr:graphicFrame macro="">
      <xdr:nvGraphicFramePr>
        <xdr:cNvPr id="1032" name="graf 8">
          <a:extLst>
            <a:ext uri="{FF2B5EF4-FFF2-40B4-BE49-F238E27FC236}">
              <a16:creationId xmlns:a16="http://schemas.microsoft.com/office/drawing/2014/main" id="{0F80F047-689D-48E7-9FD8-2E6A0B4B9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21"/>
  <sheetViews>
    <sheetView showGridLines="0" tabSelected="1" topLeftCell="A4" zoomScale="70" zoomScaleNormal="70" workbookViewId="0">
      <selection activeCell="AC364" sqref="AC364"/>
    </sheetView>
  </sheetViews>
  <sheetFormatPr defaultRowHeight="13.2" x14ac:dyDescent="0.25"/>
  <cols>
    <col min="1" max="32" width="2.6640625" customWidth="1"/>
  </cols>
  <sheetData>
    <row r="1" spans="1:32" ht="7.5" customHeight="1" x14ac:dyDescent="0.25"/>
    <row r="2" spans="1:32" ht="24" customHeight="1" x14ac:dyDescent="0.4">
      <c r="A2" s="117" t="s">
        <v>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</row>
    <row r="3" spans="1:32" ht="12" customHeight="1" x14ac:dyDescent="0.25"/>
    <row r="4" spans="1:32" x14ac:dyDescent="0.25">
      <c r="B4" s="5" t="s">
        <v>6</v>
      </c>
    </row>
    <row r="13" spans="1:32" x14ac:dyDescent="0.25">
      <c r="B13" s="8" t="s">
        <v>10</v>
      </c>
    </row>
    <row r="14" spans="1:32" x14ac:dyDescent="0.25">
      <c r="C14" t="s">
        <v>11</v>
      </c>
      <c r="K14" s="58">
        <v>30</v>
      </c>
      <c r="L14" s="58"/>
      <c r="M14" t="s">
        <v>3</v>
      </c>
    </row>
    <row r="15" spans="1:32" x14ac:dyDescent="0.25">
      <c r="C15" t="s">
        <v>12</v>
      </c>
      <c r="K15" s="58">
        <v>0.6</v>
      </c>
      <c r="L15" s="58"/>
    </row>
    <row r="16" spans="1:32" x14ac:dyDescent="0.25">
      <c r="C16" t="s">
        <v>13</v>
      </c>
      <c r="K16" s="119">
        <f>vypocet!C5</f>
        <v>18</v>
      </c>
      <c r="L16" s="119"/>
      <c r="M16" t="s">
        <v>3</v>
      </c>
    </row>
    <row r="17" spans="2:31" x14ac:dyDescent="0.25">
      <c r="C17" s="7" t="s">
        <v>52</v>
      </c>
      <c r="K17" s="2"/>
      <c r="L17" s="2"/>
    </row>
    <row r="20" spans="2:31" ht="15" x14ac:dyDescent="0.25">
      <c r="B20" s="6" t="s">
        <v>8</v>
      </c>
      <c r="F20" t="s">
        <v>9</v>
      </c>
    </row>
    <row r="21" spans="2:31" x14ac:dyDescent="0.25">
      <c r="E21" t="s">
        <v>26</v>
      </c>
    </row>
    <row r="23" spans="2:31" x14ac:dyDescent="0.25">
      <c r="K23" s="1" t="s">
        <v>15</v>
      </c>
      <c r="L23" s="105">
        <f>vypocet!Z4</f>
        <v>5.3809523809523823</v>
      </c>
      <c r="M23" s="105"/>
      <c r="N23" s="105"/>
      <c r="O23" s="5" t="s">
        <v>3</v>
      </c>
    </row>
    <row r="24" spans="2:31" ht="17.25" customHeight="1" x14ac:dyDescent="0.25">
      <c r="K24" s="1" t="s">
        <v>38</v>
      </c>
      <c r="L24" s="118">
        <f>L23-L23^2/K16+3*L23^2/2/K16^2*(1-L23^2/K16^2)*vypocet!P3-(L23^2*K16^2-L23^4)/(2*K16^3)</f>
        <v>3.4679789013426676</v>
      </c>
      <c r="M24" s="118"/>
      <c r="N24" s="118"/>
      <c r="R24" s="1" t="s">
        <v>14</v>
      </c>
      <c r="S24" s="106">
        <f>L23</f>
        <v>5.3809523809523823</v>
      </c>
      <c r="T24" s="106"/>
      <c r="U24" s="106"/>
      <c r="V24" s="5" t="s">
        <v>3</v>
      </c>
    </row>
    <row r="25" spans="2:31" x14ac:dyDescent="0.25">
      <c r="K25" s="1" t="s">
        <v>39</v>
      </c>
      <c r="L25" s="120">
        <f>3*L23/K16^2*((-vypocet!F6+2*vypocet!F6^2/K14-vypocet!F6^3/K14^2)*vypocet!P3+(vypocet!F6^2/K14-vypocet!F6^3/K14^2)*vypocet!P4)</f>
        <v>-0.87015827390045219</v>
      </c>
      <c r="M25" s="120"/>
      <c r="N25" s="120"/>
      <c r="R25" s="1" t="s">
        <v>14</v>
      </c>
      <c r="S25" s="107">
        <f>K16+vypocet!F6</f>
        <v>29.163781754467934</v>
      </c>
      <c r="T25" s="107"/>
      <c r="U25" s="107"/>
      <c r="V25" s="5" t="s">
        <v>3</v>
      </c>
    </row>
    <row r="26" spans="2:31" ht="27" customHeight="1" thickBot="1" x14ac:dyDescent="0.4">
      <c r="B26" s="5" t="s">
        <v>25</v>
      </c>
    </row>
    <row r="27" spans="2:31" x14ac:dyDescent="0.25">
      <c r="B27" s="91" t="s">
        <v>16</v>
      </c>
      <c r="C27" s="92"/>
      <c r="D27" s="92"/>
      <c r="E27" s="93"/>
      <c r="F27" s="97" t="s">
        <v>17</v>
      </c>
      <c r="G27" s="92"/>
      <c r="H27" s="93"/>
      <c r="I27" s="121" t="s">
        <v>7</v>
      </c>
      <c r="J27" s="92"/>
      <c r="K27" s="122"/>
      <c r="L27" s="100" t="s">
        <v>16</v>
      </c>
      <c r="M27" s="92"/>
      <c r="N27" s="92"/>
      <c r="O27" s="93"/>
      <c r="P27" s="97" t="s">
        <v>17</v>
      </c>
      <c r="Q27" s="92"/>
      <c r="R27" s="93"/>
      <c r="S27" s="98" t="s">
        <v>7</v>
      </c>
      <c r="T27" s="92"/>
      <c r="U27" s="92"/>
      <c r="V27" s="100" t="s">
        <v>16</v>
      </c>
      <c r="W27" s="92"/>
      <c r="X27" s="92"/>
      <c r="Y27" s="93"/>
      <c r="Z27" s="97" t="s">
        <v>17</v>
      </c>
      <c r="AA27" s="92"/>
      <c r="AB27" s="93"/>
      <c r="AC27" s="98" t="s">
        <v>7</v>
      </c>
      <c r="AD27" s="92"/>
      <c r="AE27" s="99"/>
    </row>
    <row r="28" spans="2:31" ht="13.8" thickBot="1" x14ac:dyDescent="0.3">
      <c r="B28" s="94"/>
      <c r="C28" s="95"/>
      <c r="D28" s="95"/>
      <c r="E28" s="96"/>
      <c r="F28" s="102" t="s">
        <v>18</v>
      </c>
      <c r="G28" s="95"/>
      <c r="H28" s="96"/>
      <c r="I28" s="102" t="s">
        <v>18</v>
      </c>
      <c r="J28" s="95"/>
      <c r="K28" s="103"/>
      <c r="L28" s="101"/>
      <c r="M28" s="95"/>
      <c r="N28" s="95"/>
      <c r="O28" s="96"/>
      <c r="P28" s="102" t="s">
        <v>18</v>
      </c>
      <c r="Q28" s="95"/>
      <c r="R28" s="96"/>
      <c r="S28" s="95" t="s">
        <v>18</v>
      </c>
      <c r="T28" s="95"/>
      <c r="U28" s="95"/>
      <c r="V28" s="101"/>
      <c r="W28" s="95"/>
      <c r="X28" s="95"/>
      <c r="Y28" s="96"/>
      <c r="Z28" s="102" t="s">
        <v>18</v>
      </c>
      <c r="AA28" s="95"/>
      <c r="AB28" s="96"/>
      <c r="AC28" s="95" t="s">
        <v>18</v>
      </c>
      <c r="AD28" s="95"/>
      <c r="AE28" s="104"/>
    </row>
    <row r="29" spans="2:31" ht="13.8" thickTop="1" x14ac:dyDescent="0.25">
      <c r="B29" s="60" t="s">
        <v>19</v>
      </c>
      <c r="C29" s="63">
        <v>0</v>
      </c>
      <c r="D29" s="63"/>
      <c r="E29" s="64"/>
      <c r="F29" s="65">
        <f>vypocet!N6</f>
        <v>0</v>
      </c>
      <c r="G29" s="66"/>
      <c r="H29" s="67"/>
      <c r="I29" s="68">
        <f>vypocet!AA6</f>
        <v>0</v>
      </c>
      <c r="J29" s="69"/>
      <c r="K29" s="70"/>
      <c r="L29" s="85" t="s">
        <v>20</v>
      </c>
      <c r="M29" s="63">
        <v>0</v>
      </c>
      <c r="N29" s="63"/>
      <c r="O29" s="64"/>
      <c r="P29" s="115">
        <f>vypocet!N26</f>
        <v>18</v>
      </c>
      <c r="Q29" s="63"/>
      <c r="R29" s="64"/>
      <c r="S29" s="68">
        <f>vypocet!AA26</f>
        <v>0</v>
      </c>
      <c r="T29" s="69"/>
      <c r="U29" s="70"/>
      <c r="V29" s="85" t="s">
        <v>22</v>
      </c>
      <c r="W29" s="63">
        <v>0</v>
      </c>
      <c r="X29" s="63"/>
      <c r="Y29" s="64"/>
      <c r="Z29" s="115">
        <f>vypocet!N46</f>
        <v>48</v>
      </c>
      <c r="AA29" s="63"/>
      <c r="AB29" s="64"/>
      <c r="AC29" s="68">
        <f>vypocet!AA46</f>
        <v>0</v>
      </c>
      <c r="AD29" s="69"/>
      <c r="AE29" s="71"/>
    </row>
    <row r="30" spans="2:31" ht="12.75" customHeight="1" x14ac:dyDescent="0.25">
      <c r="B30" s="61"/>
      <c r="C30" s="72">
        <v>1</v>
      </c>
      <c r="D30" s="72"/>
      <c r="E30" s="72"/>
      <c r="F30" s="65">
        <f>vypocet!N7</f>
        <v>0.9</v>
      </c>
      <c r="G30" s="66"/>
      <c r="H30" s="67"/>
      <c r="I30" s="73">
        <f>vypocet!AA7</f>
        <v>0.57518614718614702</v>
      </c>
      <c r="J30" s="74"/>
      <c r="K30" s="75"/>
      <c r="L30" s="86"/>
      <c r="M30" s="72">
        <v>1</v>
      </c>
      <c r="N30" s="72"/>
      <c r="O30" s="72"/>
      <c r="P30" s="109">
        <f>vypocet!N27</f>
        <v>19.5</v>
      </c>
      <c r="Q30" s="110"/>
      <c r="R30" s="111"/>
      <c r="S30" s="73">
        <f>vypocet!AA27</f>
        <v>-0.23927476293547728</v>
      </c>
      <c r="T30" s="74"/>
      <c r="U30" s="75"/>
      <c r="V30" s="86"/>
      <c r="W30" s="72">
        <v>1</v>
      </c>
      <c r="X30" s="72"/>
      <c r="Y30" s="72"/>
      <c r="Z30" s="109">
        <f>vypocet!N47</f>
        <v>48.9</v>
      </c>
      <c r="AA30" s="110"/>
      <c r="AB30" s="111"/>
      <c r="AC30" s="73">
        <f>vypocet!AA47</f>
        <v>3.2364332096474907E-2</v>
      </c>
      <c r="AD30" s="74"/>
      <c r="AE30" s="76"/>
    </row>
    <row r="31" spans="2:31" x14ac:dyDescent="0.25">
      <c r="B31" s="61"/>
      <c r="C31" s="72">
        <v>2</v>
      </c>
      <c r="D31" s="72"/>
      <c r="E31" s="72"/>
      <c r="F31" s="65">
        <f>vypocet!N8</f>
        <v>1.8</v>
      </c>
      <c r="G31" s="66"/>
      <c r="H31" s="67"/>
      <c r="I31" s="73">
        <f>vypocet!AA8</f>
        <v>1.1512108843537412</v>
      </c>
      <c r="J31" s="74"/>
      <c r="K31" s="75"/>
      <c r="L31" s="86"/>
      <c r="M31" s="72">
        <v>2</v>
      </c>
      <c r="N31" s="72"/>
      <c r="O31" s="72"/>
      <c r="P31" s="109">
        <f>vypocet!N28</f>
        <v>21</v>
      </c>
      <c r="Q31" s="110"/>
      <c r="R31" s="111"/>
      <c r="S31" s="73">
        <f>vypocet!AA28</f>
        <v>-0.43501855287569596</v>
      </c>
      <c r="T31" s="74"/>
      <c r="U31" s="75"/>
      <c r="V31" s="86"/>
      <c r="W31" s="72">
        <v>2</v>
      </c>
      <c r="X31" s="72"/>
      <c r="Y31" s="72"/>
      <c r="Z31" s="109">
        <f>vypocet!N48</f>
        <v>49.8</v>
      </c>
      <c r="AA31" s="110"/>
      <c r="AB31" s="111"/>
      <c r="AC31" s="73">
        <f>vypocet!AA48</f>
        <v>5.9749536178107528E-2</v>
      </c>
      <c r="AD31" s="74"/>
      <c r="AE31" s="76"/>
    </row>
    <row r="32" spans="2:31" x14ac:dyDescent="0.25">
      <c r="B32" s="61"/>
      <c r="C32" s="72">
        <v>3</v>
      </c>
      <c r="D32" s="72"/>
      <c r="E32" s="72"/>
      <c r="F32" s="65">
        <f>vypocet!N9</f>
        <v>2.7</v>
      </c>
      <c r="G32" s="66"/>
      <c r="H32" s="67"/>
      <c r="I32" s="73">
        <f>vypocet!AA9</f>
        <v>1.7289128014842299</v>
      </c>
      <c r="J32" s="74"/>
      <c r="K32" s="75"/>
      <c r="L32" s="86"/>
      <c r="M32" s="72">
        <v>3</v>
      </c>
      <c r="N32" s="72"/>
      <c r="O32" s="72"/>
      <c r="P32" s="109">
        <f>vypocet!N29</f>
        <v>22.5</v>
      </c>
      <c r="Q32" s="110"/>
      <c r="R32" s="111"/>
      <c r="S32" s="73">
        <f>vypocet!AA29</f>
        <v>-0.59028872912801489</v>
      </c>
      <c r="T32" s="74"/>
      <c r="U32" s="75"/>
      <c r="V32" s="86"/>
      <c r="W32" s="72">
        <v>3</v>
      </c>
      <c r="X32" s="72"/>
      <c r="Y32" s="72"/>
      <c r="Z32" s="109">
        <f>vypocet!N49</f>
        <v>50.699999999999996</v>
      </c>
      <c r="AA32" s="110"/>
      <c r="AB32" s="111"/>
      <c r="AC32" s="73">
        <f>vypocet!AA49</f>
        <v>8.2417671614100102E-2</v>
      </c>
      <c r="AD32" s="74"/>
      <c r="AE32" s="76"/>
    </row>
    <row r="33" spans="2:31" x14ac:dyDescent="0.25">
      <c r="B33" s="61"/>
      <c r="C33" s="72">
        <v>4</v>
      </c>
      <c r="D33" s="72"/>
      <c r="E33" s="72"/>
      <c r="F33" s="65">
        <f>vypocet!N10</f>
        <v>3.6</v>
      </c>
      <c r="G33" s="66"/>
      <c r="H33" s="67"/>
      <c r="I33" s="73">
        <f>vypocet!AA10</f>
        <v>2.3091304885590591</v>
      </c>
      <c r="J33" s="74"/>
      <c r="K33" s="75"/>
      <c r="L33" s="86"/>
      <c r="M33" s="72">
        <v>4</v>
      </c>
      <c r="N33" s="72"/>
      <c r="O33" s="72"/>
      <c r="P33" s="109">
        <f>vypocet!N30</f>
        <v>24</v>
      </c>
      <c r="Q33" s="110"/>
      <c r="R33" s="111"/>
      <c r="S33" s="73">
        <f>vypocet!AA30</f>
        <v>-0.70814265099979412</v>
      </c>
      <c r="T33" s="74"/>
      <c r="U33" s="75"/>
      <c r="V33" s="86"/>
      <c r="W33" s="72">
        <v>4</v>
      </c>
      <c r="X33" s="72"/>
      <c r="Y33" s="72"/>
      <c r="Z33" s="109">
        <f>vypocet!N50</f>
        <v>51.599999999999994</v>
      </c>
      <c r="AA33" s="110"/>
      <c r="AB33" s="111"/>
      <c r="AC33" s="73">
        <f>vypocet!AA50</f>
        <v>0.10063079777365483</v>
      </c>
      <c r="AD33" s="74"/>
      <c r="AE33" s="76"/>
    </row>
    <row r="34" spans="2:31" x14ac:dyDescent="0.25">
      <c r="B34" s="61"/>
      <c r="C34" s="72">
        <v>5</v>
      </c>
      <c r="D34" s="72"/>
      <c r="E34" s="72"/>
      <c r="F34" s="65">
        <f>vypocet!N11</f>
        <v>4.5</v>
      </c>
      <c r="G34" s="66"/>
      <c r="H34" s="67"/>
      <c r="I34" s="73">
        <f>vypocet!AA11</f>
        <v>2.8927025355596778</v>
      </c>
      <c r="J34" s="74"/>
      <c r="K34" s="75"/>
      <c r="L34" s="86"/>
      <c r="M34" s="72">
        <v>5</v>
      </c>
      <c r="N34" s="72"/>
      <c r="O34" s="72"/>
      <c r="P34" s="109">
        <f>vypocet!N31</f>
        <v>25.5</v>
      </c>
      <c r="Q34" s="110"/>
      <c r="R34" s="111"/>
      <c r="S34" s="73">
        <f>vypocet!AA31</f>
        <v>-0.79163767779839234</v>
      </c>
      <c r="T34" s="74"/>
      <c r="U34" s="75"/>
      <c r="V34" s="86"/>
      <c r="W34" s="72">
        <v>5</v>
      </c>
      <c r="X34" s="72"/>
      <c r="Y34" s="72"/>
      <c r="Z34" s="109">
        <f>vypocet!N51</f>
        <v>52.499999999999993</v>
      </c>
      <c r="AA34" s="110"/>
      <c r="AB34" s="111"/>
      <c r="AC34" s="73">
        <f>vypocet!AA51</f>
        <v>0.11465097402597398</v>
      </c>
      <c r="AD34" s="74"/>
      <c r="AE34" s="76"/>
    </row>
    <row r="35" spans="2:31" x14ac:dyDescent="0.25">
      <c r="B35" s="61"/>
      <c r="C35" s="72">
        <v>6</v>
      </c>
      <c r="D35" s="72"/>
      <c r="E35" s="72"/>
      <c r="F35" s="65">
        <f>vypocet!N12</f>
        <v>5.4</v>
      </c>
      <c r="G35" s="66"/>
      <c r="H35" s="67"/>
      <c r="I35" s="73">
        <f>vypocet!AA12</f>
        <v>3.4614199134199137</v>
      </c>
      <c r="J35" s="74"/>
      <c r="K35" s="75"/>
      <c r="L35" s="86"/>
      <c r="M35" s="72">
        <v>6</v>
      </c>
      <c r="N35" s="72"/>
      <c r="O35" s="72"/>
      <c r="P35" s="109">
        <f>vypocet!N32</f>
        <v>27</v>
      </c>
      <c r="Q35" s="110"/>
      <c r="R35" s="111"/>
      <c r="S35" s="73">
        <f>vypocet!AA32</f>
        <v>-0.84383116883116893</v>
      </c>
      <c r="T35" s="74"/>
      <c r="U35" s="75"/>
      <c r="V35" s="86"/>
      <c r="W35" s="72">
        <v>6</v>
      </c>
      <c r="X35" s="72"/>
      <c r="Y35" s="72"/>
      <c r="Z35" s="109">
        <f>vypocet!N52</f>
        <v>53.399999999999991</v>
      </c>
      <c r="AA35" s="110"/>
      <c r="AB35" s="111"/>
      <c r="AC35" s="73">
        <f>vypocet!AA52</f>
        <v>0.12474025974025967</v>
      </c>
      <c r="AD35" s="74"/>
      <c r="AE35" s="76"/>
    </row>
    <row r="36" spans="2:31" x14ac:dyDescent="0.25">
      <c r="B36" s="61"/>
      <c r="C36" s="72">
        <v>7</v>
      </c>
      <c r="D36" s="72"/>
      <c r="E36" s="72"/>
      <c r="F36" s="65">
        <f>vypocet!N13</f>
        <v>6.3000000000000007</v>
      </c>
      <c r="G36" s="66"/>
      <c r="H36" s="67"/>
      <c r="I36" s="73">
        <f>vypocet!AA13</f>
        <v>3.1542164502164503</v>
      </c>
      <c r="J36" s="74"/>
      <c r="K36" s="75"/>
      <c r="L36" s="86"/>
      <c r="M36" s="72">
        <v>7</v>
      </c>
      <c r="N36" s="72"/>
      <c r="O36" s="72"/>
      <c r="P36" s="109">
        <f>vypocet!N33</f>
        <v>28.5</v>
      </c>
      <c r="Q36" s="110"/>
      <c r="R36" s="111"/>
      <c r="S36" s="73">
        <f>vypocet!AA33</f>
        <v>-0.86778048340548364</v>
      </c>
      <c r="T36" s="74"/>
      <c r="U36" s="75"/>
      <c r="V36" s="86"/>
      <c r="W36" s="72">
        <v>7</v>
      </c>
      <c r="X36" s="72"/>
      <c r="Y36" s="72"/>
      <c r="Z36" s="109">
        <f>vypocet!N53</f>
        <v>54.29999999999999</v>
      </c>
      <c r="AA36" s="110"/>
      <c r="AB36" s="111"/>
      <c r="AC36" s="73">
        <f>vypocet!AA53</f>
        <v>0.13116071428571427</v>
      </c>
      <c r="AD36" s="74"/>
      <c r="AE36" s="76"/>
    </row>
    <row r="37" spans="2:31" x14ac:dyDescent="0.25">
      <c r="B37" s="61"/>
      <c r="C37" s="72">
        <v>8</v>
      </c>
      <c r="D37" s="72"/>
      <c r="E37" s="72"/>
      <c r="F37" s="65">
        <f>vypocet!N14</f>
        <v>7.2000000000000011</v>
      </c>
      <c r="G37" s="66"/>
      <c r="H37" s="67"/>
      <c r="I37" s="73">
        <f>vypocet!AA14</f>
        <v>2.8528831168831168</v>
      </c>
      <c r="J37" s="74"/>
      <c r="K37" s="75"/>
      <c r="L37" s="86"/>
      <c r="M37" s="72">
        <v>8</v>
      </c>
      <c r="N37" s="72"/>
      <c r="O37" s="72"/>
      <c r="P37" s="109">
        <f>vypocet!N34</f>
        <v>30</v>
      </c>
      <c r="Q37" s="110"/>
      <c r="R37" s="111"/>
      <c r="S37" s="73">
        <f>vypocet!AA34</f>
        <v>-0.8665429808286953</v>
      </c>
      <c r="T37" s="74"/>
      <c r="U37" s="75"/>
      <c r="V37" s="86"/>
      <c r="W37" s="72">
        <v>8</v>
      </c>
      <c r="X37" s="72"/>
      <c r="Y37" s="72"/>
      <c r="Z37" s="109">
        <f>vypocet!N54</f>
        <v>55.199999999999989</v>
      </c>
      <c r="AA37" s="110"/>
      <c r="AB37" s="111"/>
      <c r="AC37" s="73">
        <f>vypocet!AA54</f>
        <v>0.13417439703153988</v>
      </c>
      <c r="AD37" s="74"/>
      <c r="AE37" s="76"/>
    </row>
    <row r="38" spans="2:31" x14ac:dyDescent="0.25">
      <c r="B38" s="61"/>
      <c r="C38" s="72">
        <v>9</v>
      </c>
      <c r="D38" s="72"/>
      <c r="E38" s="72"/>
      <c r="F38" s="65">
        <f>vypocet!N15</f>
        <v>8.1000000000000014</v>
      </c>
      <c r="G38" s="66"/>
      <c r="H38" s="67"/>
      <c r="I38" s="73">
        <f>vypocet!AA15</f>
        <v>2.558258503401361</v>
      </c>
      <c r="J38" s="74"/>
      <c r="K38" s="75"/>
      <c r="L38" s="86"/>
      <c r="M38" s="72">
        <v>9</v>
      </c>
      <c r="N38" s="72"/>
      <c r="O38" s="72"/>
      <c r="P38" s="109">
        <f>vypocet!N35</f>
        <v>31.5</v>
      </c>
      <c r="Q38" s="110"/>
      <c r="R38" s="111"/>
      <c r="S38" s="73">
        <f>vypocet!AA35</f>
        <v>-0.84317602040816375</v>
      </c>
      <c r="T38" s="74"/>
      <c r="U38" s="75"/>
      <c r="V38" s="86"/>
      <c r="W38" s="72">
        <v>9</v>
      </c>
      <c r="X38" s="72"/>
      <c r="Y38" s="72"/>
      <c r="Z38" s="109">
        <f>vypocet!N55</f>
        <v>56.099999999999987</v>
      </c>
      <c r="AA38" s="110"/>
      <c r="AB38" s="111"/>
      <c r="AC38" s="73">
        <f>vypocet!AA55</f>
        <v>0.13404336734693884</v>
      </c>
      <c r="AD38" s="74"/>
      <c r="AE38" s="76"/>
    </row>
    <row r="39" spans="2:31" x14ac:dyDescent="0.25">
      <c r="B39" s="61"/>
      <c r="C39" s="72">
        <v>10</v>
      </c>
      <c r="D39" s="72"/>
      <c r="E39" s="72"/>
      <c r="F39" s="65">
        <f>vypocet!N16</f>
        <v>9.0000000000000018</v>
      </c>
      <c r="G39" s="66"/>
      <c r="H39" s="67"/>
      <c r="I39" s="73">
        <f>vypocet!AA16</f>
        <v>2.2711811997526277</v>
      </c>
      <c r="J39" s="74"/>
      <c r="K39" s="75"/>
      <c r="L39" s="86"/>
      <c r="M39" s="72">
        <v>10</v>
      </c>
      <c r="N39" s="72"/>
      <c r="O39" s="72"/>
      <c r="P39" s="109">
        <f>vypocet!N36</f>
        <v>33</v>
      </c>
      <c r="Q39" s="110"/>
      <c r="R39" s="111"/>
      <c r="S39" s="73">
        <f>vypocet!AA36</f>
        <v>-0.8007369614512474</v>
      </c>
      <c r="T39" s="74"/>
      <c r="U39" s="75"/>
      <c r="V39" s="86"/>
      <c r="W39" s="72">
        <v>10</v>
      </c>
      <c r="X39" s="72"/>
      <c r="Y39" s="72"/>
      <c r="Z39" s="109">
        <f>vypocet!N56</f>
        <v>56.999999999999986</v>
      </c>
      <c r="AA39" s="110"/>
      <c r="AB39" s="111"/>
      <c r="AC39" s="73">
        <f>vypocet!AA56</f>
        <v>0.13102968460111325</v>
      </c>
      <c r="AD39" s="74"/>
      <c r="AE39" s="76"/>
    </row>
    <row r="40" spans="2:31" x14ac:dyDescent="0.25">
      <c r="B40" s="61"/>
      <c r="C40" s="72">
        <v>11</v>
      </c>
      <c r="D40" s="72"/>
      <c r="E40" s="72"/>
      <c r="F40" s="65">
        <f>vypocet!N17</f>
        <v>9.9000000000000021</v>
      </c>
      <c r="G40" s="66"/>
      <c r="H40" s="67"/>
      <c r="I40" s="73">
        <f>vypocet!AA17</f>
        <v>1.9924897959183665</v>
      </c>
      <c r="J40" s="74"/>
      <c r="K40" s="75"/>
      <c r="L40" s="86"/>
      <c r="M40" s="72">
        <v>11</v>
      </c>
      <c r="N40" s="72"/>
      <c r="O40" s="72"/>
      <c r="P40" s="109">
        <f>vypocet!N37</f>
        <v>34.5</v>
      </c>
      <c r="Q40" s="110"/>
      <c r="R40" s="111"/>
      <c r="S40" s="73">
        <f>vypocet!AA37</f>
        <v>-0.74228316326530619</v>
      </c>
      <c r="T40" s="74"/>
      <c r="U40" s="75"/>
      <c r="V40" s="86"/>
      <c r="W40" s="72">
        <v>11</v>
      </c>
      <c r="X40" s="72"/>
      <c r="Y40" s="72"/>
      <c r="Z40" s="109">
        <f>vypocet!N57</f>
        <v>57.899999999999984</v>
      </c>
      <c r="AA40" s="110"/>
      <c r="AB40" s="111"/>
      <c r="AC40" s="73">
        <f>vypocet!AA57</f>
        <v>0.12539540816326544</v>
      </c>
      <c r="AD40" s="74"/>
      <c r="AE40" s="76"/>
    </row>
    <row r="41" spans="2:31" x14ac:dyDescent="0.25">
      <c r="B41" s="61"/>
      <c r="C41" s="72">
        <v>12</v>
      </c>
      <c r="D41" s="72"/>
      <c r="E41" s="72"/>
      <c r="F41" s="65">
        <f>vypocet!N18</f>
        <v>10.800000000000002</v>
      </c>
      <c r="G41" s="66"/>
      <c r="H41" s="67"/>
      <c r="I41" s="73">
        <f>vypocet!AA18</f>
        <v>1.7230228818800237</v>
      </c>
      <c r="J41" s="74"/>
      <c r="K41" s="75"/>
      <c r="L41" s="86"/>
      <c r="M41" s="72">
        <v>12</v>
      </c>
      <c r="N41" s="72"/>
      <c r="O41" s="72"/>
      <c r="P41" s="109">
        <f>vypocet!N38</f>
        <v>36</v>
      </c>
      <c r="Q41" s="110"/>
      <c r="R41" s="111"/>
      <c r="S41" s="73">
        <f>vypocet!AA38</f>
        <v>-0.67087198515769964</v>
      </c>
      <c r="T41" s="74"/>
      <c r="U41" s="75"/>
      <c r="V41" s="86"/>
      <c r="W41" s="72">
        <v>12</v>
      </c>
      <c r="X41" s="72"/>
      <c r="Y41" s="72"/>
      <c r="Z41" s="109">
        <f>vypocet!N58</f>
        <v>58.799999999999983</v>
      </c>
      <c r="AA41" s="110"/>
      <c r="AB41" s="111"/>
      <c r="AC41" s="73">
        <f>vypocet!AA58</f>
        <v>0.11740259740259756</v>
      </c>
      <c r="AD41" s="74"/>
      <c r="AE41" s="76"/>
    </row>
    <row r="42" spans="2:31" x14ac:dyDescent="0.25">
      <c r="B42" s="61"/>
      <c r="C42" s="72">
        <v>13</v>
      </c>
      <c r="D42" s="72"/>
      <c r="E42" s="72"/>
      <c r="F42" s="65">
        <f>vypocet!N19</f>
        <v>11.700000000000003</v>
      </c>
      <c r="G42" s="66"/>
      <c r="H42" s="67"/>
      <c r="I42" s="73">
        <f>vypocet!AA19</f>
        <v>1.4636190476190465</v>
      </c>
      <c r="J42" s="74"/>
      <c r="K42" s="75"/>
      <c r="L42" s="86"/>
      <c r="M42" s="72">
        <v>13</v>
      </c>
      <c r="N42" s="72"/>
      <c r="O42" s="72"/>
      <c r="P42" s="109">
        <f>vypocet!N39</f>
        <v>37.5</v>
      </c>
      <c r="Q42" s="110"/>
      <c r="R42" s="111"/>
      <c r="S42" s="73">
        <f>vypocet!AA39</f>
        <v>-0.58956078643578658</v>
      </c>
      <c r="T42" s="74"/>
      <c r="U42" s="75"/>
      <c r="V42" s="86"/>
      <c r="W42" s="72">
        <v>13</v>
      </c>
      <c r="X42" s="72"/>
      <c r="Y42" s="72"/>
      <c r="Z42" s="109">
        <f>vypocet!N59</f>
        <v>59.699999999999982</v>
      </c>
      <c r="AA42" s="110"/>
      <c r="AB42" s="111"/>
      <c r="AC42" s="73">
        <f>vypocet!AA59</f>
        <v>0.1073133116883119</v>
      </c>
      <c r="AD42" s="74"/>
      <c r="AE42" s="76"/>
    </row>
    <row r="43" spans="2:31" x14ac:dyDescent="0.25">
      <c r="B43" s="61"/>
      <c r="C43" s="72">
        <v>14</v>
      </c>
      <c r="D43" s="72"/>
      <c r="E43" s="72"/>
      <c r="F43" s="65">
        <f>vypocet!N20</f>
        <v>12.600000000000003</v>
      </c>
      <c r="G43" s="66"/>
      <c r="H43" s="67"/>
      <c r="I43" s="73">
        <f>vypocet!AA20</f>
        <v>1.2151168831168815</v>
      </c>
      <c r="J43" s="74"/>
      <c r="K43" s="75"/>
      <c r="L43" s="86"/>
      <c r="M43" s="72">
        <v>14</v>
      </c>
      <c r="N43" s="72"/>
      <c r="O43" s="72"/>
      <c r="P43" s="109">
        <f>vypocet!N40</f>
        <v>39</v>
      </c>
      <c r="Q43" s="110"/>
      <c r="R43" s="111"/>
      <c r="S43" s="73">
        <f>vypocet!AA40</f>
        <v>-0.50140692640692652</v>
      </c>
      <c r="T43" s="74"/>
      <c r="U43" s="75"/>
      <c r="V43" s="86"/>
      <c r="W43" s="72">
        <v>14</v>
      </c>
      <c r="X43" s="72"/>
      <c r="Y43" s="72"/>
      <c r="Z43" s="109">
        <f>vypocet!N60</f>
        <v>60.59999999999998</v>
      </c>
      <c r="AA43" s="110"/>
      <c r="AB43" s="111"/>
      <c r="AC43" s="73">
        <f>vypocet!AA60</f>
        <v>9.5389610389610704E-2</v>
      </c>
      <c r="AD43" s="74"/>
      <c r="AE43" s="76"/>
    </row>
    <row r="44" spans="2:31" x14ac:dyDescent="0.25">
      <c r="B44" s="61"/>
      <c r="C44" s="72">
        <v>15</v>
      </c>
      <c r="D44" s="72"/>
      <c r="E44" s="72"/>
      <c r="F44" s="65">
        <f>vypocet!N21</f>
        <v>13.500000000000004</v>
      </c>
      <c r="G44" s="66"/>
      <c r="H44" s="67"/>
      <c r="I44" s="73">
        <f>vypocet!AA21</f>
        <v>0.97835497835497798</v>
      </c>
      <c r="J44" s="74"/>
      <c r="K44" s="75"/>
      <c r="L44" s="86"/>
      <c r="M44" s="72">
        <v>15</v>
      </c>
      <c r="N44" s="72"/>
      <c r="O44" s="72"/>
      <c r="P44" s="109">
        <f>vypocet!N41</f>
        <v>40.5</v>
      </c>
      <c r="Q44" s="110"/>
      <c r="R44" s="111"/>
      <c r="S44" s="73">
        <f>vypocet!AA41</f>
        <v>-0.40946776437847876</v>
      </c>
      <c r="T44" s="74"/>
      <c r="U44" s="75"/>
      <c r="V44" s="86"/>
      <c r="W44" s="72">
        <v>15</v>
      </c>
      <c r="X44" s="72"/>
      <c r="Y44" s="72"/>
      <c r="Z44" s="109">
        <f>vypocet!N61</f>
        <v>61.499999999999979</v>
      </c>
      <c r="AA44" s="110"/>
      <c r="AB44" s="111"/>
      <c r="AC44" s="73">
        <f>vypocet!AA61</f>
        <v>8.189355287569608E-2</v>
      </c>
      <c r="AD44" s="74"/>
      <c r="AE44" s="76"/>
    </row>
    <row r="45" spans="2:31" x14ac:dyDescent="0.25">
      <c r="B45" s="61"/>
      <c r="C45" s="72">
        <v>16</v>
      </c>
      <c r="D45" s="72"/>
      <c r="E45" s="72"/>
      <c r="F45" s="65">
        <f>vypocet!N22</f>
        <v>14.400000000000004</v>
      </c>
      <c r="G45" s="66"/>
      <c r="H45" s="67"/>
      <c r="I45" s="73">
        <f>vypocet!AA22</f>
        <v>0.75417192331477834</v>
      </c>
      <c r="J45" s="74"/>
      <c r="K45" s="75"/>
      <c r="L45" s="86"/>
      <c r="M45" s="72">
        <v>16</v>
      </c>
      <c r="N45" s="72"/>
      <c r="O45" s="72"/>
      <c r="P45" s="109">
        <f>vypocet!N42</f>
        <v>42</v>
      </c>
      <c r="Q45" s="110"/>
      <c r="R45" s="111"/>
      <c r="S45" s="73">
        <f>vypocet!AA42</f>
        <v>-0.31680065965780252</v>
      </c>
      <c r="T45" s="74"/>
      <c r="U45" s="75"/>
      <c r="V45" s="86"/>
      <c r="W45" s="72">
        <v>16</v>
      </c>
      <c r="X45" s="72"/>
      <c r="Y45" s="72"/>
      <c r="Z45" s="109">
        <f>vypocet!N62</f>
        <v>62.399999999999977</v>
      </c>
      <c r="AA45" s="110"/>
      <c r="AB45" s="111"/>
      <c r="AC45" s="73">
        <f>vypocet!AA62</f>
        <v>6.7087198515770358E-2</v>
      </c>
      <c r="AD45" s="74"/>
      <c r="AE45" s="76"/>
    </row>
    <row r="46" spans="2:31" x14ac:dyDescent="0.25">
      <c r="B46" s="61"/>
      <c r="C46" s="72">
        <v>17</v>
      </c>
      <c r="D46" s="72"/>
      <c r="E46" s="72"/>
      <c r="F46" s="65">
        <f>vypocet!N23</f>
        <v>15.300000000000004</v>
      </c>
      <c r="G46" s="66"/>
      <c r="H46" s="67"/>
      <c r="I46" s="73">
        <f>vypocet!AA23</f>
        <v>0.54340630797773681</v>
      </c>
      <c r="J46" s="74"/>
      <c r="K46" s="75"/>
      <c r="L46" s="86"/>
      <c r="M46" s="72">
        <v>17</v>
      </c>
      <c r="N46" s="72"/>
      <c r="O46" s="72"/>
      <c r="P46" s="109">
        <f>vypocet!N43</f>
        <v>43.5</v>
      </c>
      <c r="Q46" s="110"/>
      <c r="R46" s="111"/>
      <c r="S46" s="73">
        <f>vypocet!AA43</f>
        <v>-0.22646297155225734</v>
      </c>
      <c r="T46" s="74"/>
      <c r="U46" s="75"/>
      <c r="V46" s="86"/>
      <c r="W46" s="72">
        <v>17</v>
      </c>
      <c r="X46" s="72"/>
      <c r="Y46" s="72"/>
      <c r="Z46" s="109">
        <f>vypocet!N63</f>
        <v>63.299999999999976</v>
      </c>
      <c r="AA46" s="110"/>
      <c r="AB46" s="111"/>
      <c r="AC46" s="73">
        <f>vypocet!AA63</f>
        <v>5.1232606679035696E-2</v>
      </c>
      <c r="AD46" s="74"/>
      <c r="AE46" s="76"/>
    </row>
    <row r="47" spans="2:31" x14ac:dyDescent="0.25">
      <c r="B47" s="61"/>
      <c r="C47" s="72">
        <v>18</v>
      </c>
      <c r="D47" s="72"/>
      <c r="E47" s="72"/>
      <c r="F47" s="65">
        <f>vypocet!N24</f>
        <v>16.200000000000003</v>
      </c>
      <c r="G47" s="66"/>
      <c r="H47" s="67"/>
      <c r="I47" s="73">
        <f>vypocet!AA24</f>
        <v>0.34689672232529384</v>
      </c>
      <c r="J47" s="74"/>
      <c r="K47" s="75"/>
      <c r="L47" s="86"/>
      <c r="M47" s="72">
        <v>18</v>
      </c>
      <c r="N47" s="72"/>
      <c r="O47" s="72"/>
      <c r="P47" s="109">
        <f>vypocet!N44</f>
        <v>45</v>
      </c>
      <c r="Q47" s="110"/>
      <c r="R47" s="111"/>
      <c r="S47" s="73">
        <f>vypocet!AA44</f>
        <v>-0.14151205936920222</v>
      </c>
      <c r="T47" s="74"/>
      <c r="U47" s="75"/>
      <c r="V47" s="86"/>
      <c r="W47" s="72">
        <v>18</v>
      </c>
      <c r="X47" s="72"/>
      <c r="Y47" s="72"/>
      <c r="Z47" s="109">
        <f>vypocet!N64</f>
        <v>64.199999999999974</v>
      </c>
      <c r="AA47" s="110"/>
      <c r="AB47" s="111"/>
      <c r="AC47" s="73">
        <f>vypocet!AA64</f>
        <v>3.4591836734694369E-2</v>
      </c>
      <c r="AD47" s="74"/>
      <c r="AE47" s="76"/>
    </row>
    <row r="48" spans="2:31" x14ac:dyDescent="0.25">
      <c r="B48" s="61"/>
      <c r="C48" s="72">
        <v>19</v>
      </c>
      <c r="D48" s="72"/>
      <c r="E48" s="72"/>
      <c r="F48" s="65">
        <f>vypocet!N25</f>
        <v>17.100000000000001</v>
      </c>
      <c r="G48" s="66"/>
      <c r="H48" s="67"/>
      <c r="I48" s="73">
        <f>vypocet!AA25</f>
        <v>0.16548175633889928</v>
      </c>
      <c r="J48" s="74"/>
      <c r="K48" s="75"/>
      <c r="L48" s="86"/>
      <c r="M48" s="72">
        <v>19</v>
      </c>
      <c r="N48" s="72"/>
      <c r="O48" s="72"/>
      <c r="P48" s="109">
        <f>vypocet!N45</f>
        <v>46.5</v>
      </c>
      <c r="Q48" s="110"/>
      <c r="R48" s="111"/>
      <c r="S48" s="73">
        <f>vypocet!AA45</f>
        <v>-6.5005282415996776E-2</v>
      </c>
      <c r="T48" s="74"/>
      <c r="U48" s="75"/>
      <c r="V48" s="86"/>
      <c r="W48" s="72">
        <v>19</v>
      </c>
      <c r="X48" s="72"/>
      <c r="Y48" s="72"/>
      <c r="Z48" s="109">
        <f>vypocet!N65</f>
        <v>65.09999999999998</v>
      </c>
      <c r="AA48" s="110"/>
      <c r="AB48" s="111"/>
      <c r="AC48" s="73">
        <f>vypocet!AA65</f>
        <v>1.7426948051948454E-2</v>
      </c>
      <c r="AD48" s="74"/>
      <c r="AE48" s="76"/>
    </row>
    <row r="49" spans="2:31" x14ac:dyDescent="0.25">
      <c r="B49" s="62"/>
      <c r="C49" s="77">
        <v>20</v>
      </c>
      <c r="D49" s="77"/>
      <c r="E49" s="77"/>
      <c r="F49" s="78">
        <f>vypocet!N26</f>
        <v>18</v>
      </c>
      <c r="G49" s="79"/>
      <c r="H49" s="80"/>
      <c r="I49" s="81">
        <f>vypocet!AA26</f>
        <v>0</v>
      </c>
      <c r="J49" s="82"/>
      <c r="K49" s="83"/>
      <c r="L49" s="87"/>
      <c r="M49" s="77">
        <v>20</v>
      </c>
      <c r="N49" s="77"/>
      <c r="O49" s="77"/>
      <c r="P49" s="112">
        <f>vypocet!N46</f>
        <v>48</v>
      </c>
      <c r="Q49" s="113"/>
      <c r="R49" s="114"/>
      <c r="S49" s="81">
        <f>vypocet!AA46</f>
        <v>0</v>
      </c>
      <c r="T49" s="82"/>
      <c r="U49" s="83"/>
      <c r="V49" s="87"/>
      <c r="W49" s="77">
        <v>20</v>
      </c>
      <c r="X49" s="77"/>
      <c r="Y49" s="77"/>
      <c r="Z49" s="112">
        <f>vypocet!N66</f>
        <v>65.999999999999986</v>
      </c>
      <c r="AA49" s="113"/>
      <c r="AB49" s="114"/>
      <c r="AC49" s="81">
        <f>vypocet!AA66</f>
        <v>2.7154805580658597E-16</v>
      </c>
      <c r="AD49" s="82"/>
      <c r="AE49" s="84"/>
    </row>
    <row r="50" spans="2:31" ht="16.2" thickBot="1" x14ac:dyDescent="0.3">
      <c r="B50" s="49" t="s">
        <v>21</v>
      </c>
      <c r="C50" s="50"/>
      <c r="D50" s="50"/>
      <c r="E50" s="50"/>
      <c r="F50" s="50"/>
      <c r="G50" s="50"/>
      <c r="H50" s="50"/>
      <c r="I50" s="51">
        <f>0.5*K16/20*(2*SUM(I29:K49)-I29-I49)</f>
        <v>28.923896103896102</v>
      </c>
      <c r="J50" s="52"/>
      <c r="K50" s="53"/>
      <c r="L50" s="108" t="s">
        <v>21</v>
      </c>
      <c r="M50" s="50"/>
      <c r="N50" s="50"/>
      <c r="O50" s="50"/>
      <c r="P50" s="50"/>
      <c r="Q50" s="50"/>
      <c r="R50" s="50"/>
      <c r="S50" s="54">
        <f>0.5*K14/20*(2*SUM(S29:U49)-S29-S49)</f>
        <v>-15.974702380952383</v>
      </c>
      <c r="T50" s="55"/>
      <c r="U50" s="56"/>
      <c r="V50" s="108" t="s">
        <v>21</v>
      </c>
      <c r="W50" s="50"/>
      <c r="X50" s="50"/>
      <c r="Y50" s="50"/>
      <c r="Z50" s="50"/>
      <c r="AA50" s="50"/>
      <c r="AB50" s="50"/>
      <c r="AC50" s="54">
        <f>0.5*K16/20*(2*SUM(AC29:AE49)-AC29-AC49)</f>
        <v>1.5684253246753272</v>
      </c>
      <c r="AD50" s="55"/>
      <c r="AE50" s="57"/>
    </row>
    <row r="51" spans="2:31" x14ac:dyDescent="0.25">
      <c r="B51" s="4"/>
      <c r="C51" s="9" t="s">
        <v>24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3" spans="2:31" x14ac:dyDescent="0.25">
      <c r="E53" t="s">
        <v>23</v>
      </c>
      <c r="Q53" s="58">
        <v>15</v>
      </c>
      <c r="R53" s="58"/>
      <c r="S53" s="58"/>
      <c r="T53" t="s">
        <v>3</v>
      </c>
      <c r="W53" s="116">
        <f>IF(Q53&lt;L23,3*L23/K16^2*(Q53/2*(1-Q53^2/K16^2))*vypocet!P3+IF(Q53&lt;=L23,(K16-L23)/K16*Q53,(K16-L23)/K16*Q53-(Q53-L23))+L23/K16*(-Q53*(K16-Q53)/2/K16^2*(Q53+K16)),IF(Q53&lt;(K16+K14),3*L23/K16^2*((-(Q53-K16)+2*(Q53-K16)^2/K14-(Q53-K16)^3/K14^2)*vypocet!P3+((Q53-K16)^2/K14-(Q53-K16)^3/K14^2)*vypocet!P4),3*L23/K16^2*(-(Q53-K16-K14)+3*(Q53-K16-K14)^2/2/K16-(Q53-K16-K14)^3/2/K16^2)*vypocet!P4))</f>
        <v>0.62137188208616789</v>
      </c>
      <c r="X53" s="116"/>
      <c r="Y53" s="116"/>
      <c r="Z53" t="s">
        <v>18</v>
      </c>
    </row>
    <row r="55" spans="2:31" x14ac:dyDescent="0.25">
      <c r="B55" s="10" t="s">
        <v>27</v>
      </c>
    </row>
    <row r="73" spans="2:31" ht="15" x14ac:dyDescent="0.25">
      <c r="B73" s="6" t="s">
        <v>28</v>
      </c>
      <c r="F73" t="s">
        <v>30</v>
      </c>
    </row>
    <row r="76" spans="2:31" x14ac:dyDescent="0.25">
      <c r="K76" s="1" t="s">
        <v>37</v>
      </c>
      <c r="L76" s="88">
        <f>K16</f>
        <v>18</v>
      </c>
      <c r="M76" s="88"/>
      <c r="N76" s="88"/>
      <c r="O76" s="5" t="s">
        <v>3</v>
      </c>
    </row>
    <row r="77" spans="2:31" ht="17.25" customHeight="1" x14ac:dyDescent="0.25">
      <c r="K77" s="1" t="s">
        <v>38</v>
      </c>
      <c r="L77" s="120">
        <f>3/K16*(-vypocet!G7+vypocet!G7^2/2/K16+vypocet!G7^2/K16-vypocet!G7^3/2/K16^2)*vypocet!P4</f>
        <v>0.44988332664126673</v>
      </c>
      <c r="M77" s="120"/>
      <c r="N77" s="120"/>
      <c r="R77" s="1" t="s">
        <v>14</v>
      </c>
      <c r="S77" s="107">
        <f>vypocet!G7+K16+K14</f>
        <v>55.607695154586736</v>
      </c>
      <c r="T77" s="107"/>
      <c r="U77" s="107"/>
      <c r="V77" s="5" t="s">
        <v>3</v>
      </c>
    </row>
    <row r="78" spans="2:31" x14ac:dyDescent="0.25">
      <c r="K78" s="1" t="s">
        <v>39</v>
      </c>
      <c r="L78" s="123">
        <f>3/K16*(-vypocet!F6/K14*(1-vypocet!F6/K14)^2*K14*vypocet!P3+(vypocet!F6/K14)^2*(1-vypocet!F6/K14)*K14*vypocet!P4)</f>
        <v>-2.9107949339324861</v>
      </c>
      <c r="M78" s="123"/>
      <c r="N78" s="123"/>
      <c r="R78" s="1" t="s">
        <v>14</v>
      </c>
      <c r="S78" s="107">
        <f>S25</f>
        <v>29.163781754467934</v>
      </c>
      <c r="T78" s="107"/>
      <c r="U78" s="107"/>
      <c r="V78" s="5" t="s">
        <v>3</v>
      </c>
    </row>
    <row r="79" spans="2:31" ht="27" customHeight="1" thickBot="1" x14ac:dyDescent="0.4">
      <c r="B79" s="5" t="s">
        <v>25</v>
      </c>
    </row>
    <row r="80" spans="2:31" x14ac:dyDescent="0.25">
      <c r="B80" s="91" t="s">
        <v>16</v>
      </c>
      <c r="C80" s="92"/>
      <c r="D80" s="92"/>
      <c r="E80" s="93"/>
      <c r="F80" s="97" t="s">
        <v>17</v>
      </c>
      <c r="G80" s="92"/>
      <c r="H80" s="93"/>
      <c r="I80" s="121" t="s">
        <v>49</v>
      </c>
      <c r="J80" s="92"/>
      <c r="K80" s="122"/>
      <c r="L80" s="100" t="s">
        <v>16</v>
      </c>
      <c r="M80" s="92"/>
      <c r="N80" s="92"/>
      <c r="O80" s="93"/>
      <c r="P80" s="97" t="s">
        <v>17</v>
      </c>
      <c r="Q80" s="92"/>
      <c r="R80" s="93"/>
      <c r="S80" s="98" t="s">
        <v>49</v>
      </c>
      <c r="T80" s="92"/>
      <c r="U80" s="92"/>
      <c r="V80" s="100" t="s">
        <v>16</v>
      </c>
      <c r="W80" s="92"/>
      <c r="X80" s="92"/>
      <c r="Y80" s="93"/>
      <c r="Z80" s="97" t="s">
        <v>17</v>
      </c>
      <c r="AA80" s="92"/>
      <c r="AB80" s="93"/>
      <c r="AC80" s="98" t="s">
        <v>49</v>
      </c>
      <c r="AD80" s="92"/>
      <c r="AE80" s="99"/>
    </row>
    <row r="81" spans="2:31" ht="13.8" thickBot="1" x14ac:dyDescent="0.3">
      <c r="B81" s="94"/>
      <c r="C81" s="95"/>
      <c r="D81" s="95"/>
      <c r="E81" s="96"/>
      <c r="F81" s="102" t="s">
        <v>18</v>
      </c>
      <c r="G81" s="95"/>
      <c r="H81" s="96"/>
      <c r="I81" s="102" t="s">
        <v>18</v>
      </c>
      <c r="J81" s="95"/>
      <c r="K81" s="103"/>
      <c r="L81" s="101"/>
      <c r="M81" s="95"/>
      <c r="N81" s="95"/>
      <c r="O81" s="96"/>
      <c r="P81" s="102" t="s">
        <v>18</v>
      </c>
      <c r="Q81" s="95"/>
      <c r="R81" s="96"/>
      <c r="S81" s="95" t="s">
        <v>18</v>
      </c>
      <c r="T81" s="95"/>
      <c r="U81" s="95"/>
      <c r="V81" s="101"/>
      <c r="W81" s="95"/>
      <c r="X81" s="95"/>
      <c r="Y81" s="96"/>
      <c r="Z81" s="102" t="s">
        <v>18</v>
      </c>
      <c r="AA81" s="95"/>
      <c r="AB81" s="96"/>
      <c r="AC81" s="95" t="s">
        <v>18</v>
      </c>
      <c r="AD81" s="95"/>
      <c r="AE81" s="104"/>
    </row>
    <row r="82" spans="2:31" ht="13.8" thickTop="1" x14ac:dyDescent="0.25">
      <c r="B82" s="60" t="s">
        <v>19</v>
      </c>
      <c r="C82" s="63">
        <v>0</v>
      </c>
      <c r="D82" s="63"/>
      <c r="E82" s="64"/>
      <c r="F82" s="65">
        <f>F29</f>
        <v>0</v>
      </c>
      <c r="G82" s="66"/>
      <c r="H82" s="67"/>
      <c r="I82" s="68">
        <f>vypocet!S6</f>
        <v>0</v>
      </c>
      <c r="J82" s="69"/>
      <c r="K82" s="70"/>
      <c r="L82" s="85" t="s">
        <v>20</v>
      </c>
      <c r="M82" s="63">
        <v>0</v>
      </c>
      <c r="N82" s="63"/>
      <c r="O82" s="64"/>
      <c r="P82" s="115">
        <f>P29</f>
        <v>18</v>
      </c>
      <c r="Q82" s="63"/>
      <c r="R82" s="64"/>
      <c r="S82" s="68">
        <f>vypocet!$S$26</f>
        <v>0</v>
      </c>
      <c r="T82" s="69"/>
      <c r="U82" s="70"/>
      <c r="V82" s="85" t="s">
        <v>22</v>
      </c>
      <c r="W82" s="63">
        <v>0</v>
      </c>
      <c r="X82" s="63"/>
      <c r="Y82" s="64"/>
      <c r="Z82" s="115">
        <f>Z29</f>
        <v>48</v>
      </c>
      <c r="AA82" s="63"/>
      <c r="AB82" s="64"/>
      <c r="AC82" s="68">
        <f>vypocet!$S$46</f>
        <v>0</v>
      </c>
      <c r="AD82" s="69"/>
      <c r="AE82" s="71"/>
    </row>
    <row r="83" spans="2:31" ht="12.75" customHeight="1" x14ac:dyDescent="0.25">
      <c r="B83" s="61"/>
      <c r="C83" s="72">
        <v>1</v>
      </c>
      <c r="D83" s="72"/>
      <c r="E83" s="72"/>
      <c r="F83" s="65">
        <f>F30</f>
        <v>0.9</v>
      </c>
      <c r="G83" s="66"/>
      <c r="H83" s="67"/>
      <c r="I83" s="73">
        <f>vypocet!S7</f>
        <v>-0.18654545454545463</v>
      </c>
      <c r="J83" s="74"/>
      <c r="K83" s="75"/>
      <c r="L83" s="86"/>
      <c r="M83" s="72">
        <v>1</v>
      </c>
      <c r="N83" s="72"/>
      <c r="O83" s="72"/>
      <c r="P83" s="109">
        <f t="shared" ref="P83:P102" si="0">P30</f>
        <v>19.5</v>
      </c>
      <c r="Q83" s="110"/>
      <c r="R83" s="111"/>
      <c r="S83" s="73">
        <f>vypocet!S27</f>
        <v>-0.80040584415584415</v>
      </c>
      <c r="T83" s="74"/>
      <c r="U83" s="75"/>
      <c r="V83" s="86"/>
      <c r="W83" s="72">
        <v>1</v>
      </c>
      <c r="X83" s="72"/>
      <c r="Y83" s="72"/>
      <c r="Z83" s="109">
        <f t="shared" ref="Z83:Z102" si="1">Z30</f>
        <v>48.9</v>
      </c>
      <c r="AA83" s="110"/>
      <c r="AB83" s="111"/>
      <c r="AC83" s="73">
        <f>vypocet!S47</f>
        <v>0.10826298701298682</v>
      </c>
      <c r="AD83" s="74"/>
      <c r="AE83" s="76"/>
    </row>
    <row r="84" spans="2:31" x14ac:dyDescent="0.25">
      <c r="B84" s="61"/>
      <c r="C84" s="72">
        <v>2</v>
      </c>
      <c r="D84" s="72"/>
      <c r="E84" s="72"/>
      <c r="F84" s="65">
        <f t="shared" ref="F84:F102" si="2">F31</f>
        <v>1.8</v>
      </c>
      <c r="G84" s="66"/>
      <c r="H84" s="67"/>
      <c r="I84" s="73">
        <f>vypocet!S8</f>
        <v>-0.37028571428571444</v>
      </c>
      <c r="J84" s="74"/>
      <c r="K84" s="75"/>
      <c r="L84" s="86"/>
      <c r="M84" s="72">
        <v>2</v>
      </c>
      <c r="N84" s="72"/>
      <c r="O84" s="72"/>
      <c r="P84" s="109">
        <f t="shared" si="0"/>
        <v>21</v>
      </c>
      <c r="Q84" s="110"/>
      <c r="R84" s="111"/>
      <c r="S84" s="73">
        <f>vypocet!S28</f>
        <v>-1.4551948051948056</v>
      </c>
      <c r="T84" s="74"/>
      <c r="U84" s="75"/>
      <c r="V84" s="86"/>
      <c r="W84" s="72">
        <v>2</v>
      </c>
      <c r="X84" s="72"/>
      <c r="Y84" s="72"/>
      <c r="Z84" s="109">
        <f t="shared" si="1"/>
        <v>49.8</v>
      </c>
      <c r="AA84" s="110"/>
      <c r="AB84" s="111"/>
      <c r="AC84" s="73">
        <f>vypocet!S48</f>
        <v>0.19987012987012956</v>
      </c>
      <c r="AD84" s="74"/>
      <c r="AE84" s="76"/>
    </row>
    <row r="85" spans="2:31" x14ac:dyDescent="0.25">
      <c r="B85" s="61"/>
      <c r="C85" s="72">
        <v>3</v>
      </c>
      <c r="D85" s="72"/>
      <c r="E85" s="72"/>
      <c r="F85" s="65">
        <f t="shared" si="2"/>
        <v>2.7</v>
      </c>
      <c r="G85" s="66"/>
      <c r="H85" s="67"/>
      <c r="I85" s="73">
        <f>vypocet!S9</f>
        <v>-0.54841558441558469</v>
      </c>
      <c r="J85" s="74"/>
      <c r="K85" s="75"/>
      <c r="L85" s="86"/>
      <c r="M85" s="72">
        <v>3</v>
      </c>
      <c r="N85" s="72"/>
      <c r="O85" s="72"/>
      <c r="P85" s="109">
        <f t="shared" si="0"/>
        <v>22.5</v>
      </c>
      <c r="Q85" s="110"/>
      <c r="R85" s="111"/>
      <c r="S85" s="73">
        <f>vypocet!S29</f>
        <v>-1.9745941558441555</v>
      </c>
      <c r="T85" s="74"/>
      <c r="U85" s="75"/>
      <c r="V85" s="86"/>
      <c r="W85" s="72">
        <v>3</v>
      </c>
      <c r="X85" s="72"/>
      <c r="Y85" s="72"/>
      <c r="Z85" s="109">
        <f t="shared" si="1"/>
        <v>50.699999999999996</v>
      </c>
      <c r="AA85" s="110"/>
      <c r="AB85" s="111"/>
      <c r="AC85" s="73">
        <f>vypocet!S49</f>
        <v>0.27569805194805158</v>
      </c>
      <c r="AD85" s="74"/>
      <c r="AE85" s="76"/>
    </row>
    <row r="86" spans="2:31" x14ac:dyDescent="0.25">
      <c r="B86" s="61"/>
      <c r="C86" s="72">
        <v>4</v>
      </c>
      <c r="D86" s="72"/>
      <c r="E86" s="72"/>
      <c r="F86" s="65">
        <f t="shared" si="2"/>
        <v>3.6</v>
      </c>
      <c r="G86" s="66"/>
      <c r="H86" s="67"/>
      <c r="I86" s="73">
        <f>vypocet!S10</f>
        <v>-0.71812987012987017</v>
      </c>
      <c r="J86" s="74"/>
      <c r="K86" s="75"/>
      <c r="L86" s="86"/>
      <c r="M86" s="72">
        <v>4</v>
      </c>
      <c r="N86" s="72"/>
      <c r="O86" s="72"/>
      <c r="P86" s="109">
        <f t="shared" si="0"/>
        <v>24</v>
      </c>
      <c r="Q86" s="110"/>
      <c r="R86" s="111"/>
      <c r="S86" s="73">
        <f>vypocet!S30</f>
        <v>-2.3688311688311692</v>
      </c>
      <c r="T86" s="74"/>
      <c r="U86" s="75"/>
      <c r="V86" s="86"/>
      <c r="W86" s="72">
        <v>4</v>
      </c>
      <c r="X86" s="72"/>
      <c r="Y86" s="72"/>
      <c r="Z86" s="109">
        <f t="shared" si="1"/>
        <v>51.599999999999994</v>
      </c>
      <c r="AA86" s="110"/>
      <c r="AB86" s="111"/>
      <c r="AC86" s="73">
        <f>vypocet!S50</f>
        <v>0.33662337662337621</v>
      </c>
      <c r="AD86" s="74"/>
      <c r="AE86" s="76"/>
    </row>
    <row r="87" spans="2:31" x14ac:dyDescent="0.25">
      <c r="B87" s="61"/>
      <c r="C87" s="72">
        <v>5</v>
      </c>
      <c r="D87" s="72"/>
      <c r="E87" s="72"/>
      <c r="F87" s="65">
        <f t="shared" si="2"/>
        <v>4.5</v>
      </c>
      <c r="G87" s="66"/>
      <c r="H87" s="67"/>
      <c r="I87" s="73">
        <f>vypocet!S11</f>
        <v>-0.87662337662337664</v>
      </c>
      <c r="J87" s="74"/>
      <c r="K87" s="75"/>
      <c r="L87" s="86"/>
      <c r="M87" s="72">
        <v>5</v>
      </c>
      <c r="N87" s="72"/>
      <c r="O87" s="72"/>
      <c r="P87" s="109">
        <f t="shared" si="0"/>
        <v>25.5</v>
      </c>
      <c r="Q87" s="110"/>
      <c r="R87" s="111"/>
      <c r="S87" s="73">
        <f>vypocet!S31</f>
        <v>-2.648133116883117</v>
      </c>
      <c r="T87" s="74"/>
      <c r="U87" s="75"/>
      <c r="V87" s="86"/>
      <c r="W87" s="72">
        <v>5</v>
      </c>
      <c r="X87" s="72"/>
      <c r="Y87" s="72"/>
      <c r="Z87" s="109">
        <f t="shared" si="1"/>
        <v>52.499999999999993</v>
      </c>
      <c r="AA87" s="110"/>
      <c r="AB87" s="111"/>
      <c r="AC87" s="73">
        <f>vypocet!S51</f>
        <v>0.38352272727272696</v>
      </c>
      <c r="AD87" s="74"/>
      <c r="AE87" s="76"/>
    </row>
    <row r="88" spans="2:31" x14ac:dyDescent="0.25">
      <c r="B88" s="61"/>
      <c r="C88" s="72">
        <v>6</v>
      </c>
      <c r="D88" s="72"/>
      <c r="E88" s="72"/>
      <c r="F88" s="65">
        <f t="shared" si="2"/>
        <v>5.4</v>
      </c>
      <c r="G88" s="66"/>
      <c r="H88" s="67"/>
      <c r="I88" s="73">
        <f>vypocet!S12</f>
        <v>-1.0210909090909088</v>
      </c>
      <c r="J88" s="74"/>
      <c r="K88" s="75"/>
      <c r="L88" s="86"/>
      <c r="M88" s="72">
        <v>6</v>
      </c>
      <c r="N88" s="72"/>
      <c r="O88" s="72"/>
      <c r="P88" s="109">
        <f t="shared" si="0"/>
        <v>27</v>
      </c>
      <c r="Q88" s="110"/>
      <c r="R88" s="111"/>
      <c r="S88" s="73">
        <f>vypocet!S32</f>
        <v>-2.8227272727272723</v>
      </c>
      <c r="T88" s="74"/>
      <c r="U88" s="75"/>
      <c r="V88" s="86"/>
      <c r="W88" s="72">
        <v>6</v>
      </c>
      <c r="X88" s="72"/>
      <c r="Y88" s="72"/>
      <c r="Z88" s="109">
        <f t="shared" si="1"/>
        <v>53.399999999999991</v>
      </c>
      <c r="AA88" s="110"/>
      <c r="AB88" s="111"/>
      <c r="AC88" s="73">
        <f>vypocet!S52</f>
        <v>0.41727272727272691</v>
      </c>
      <c r="AD88" s="74"/>
      <c r="AE88" s="76"/>
    </row>
    <row r="89" spans="2:31" x14ac:dyDescent="0.25">
      <c r="B89" s="61"/>
      <c r="C89" s="72">
        <v>7</v>
      </c>
      <c r="D89" s="72"/>
      <c r="E89" s="72"/>
      <c r="F89" s="65">
        <f t="shared" si="2"/>
        <v>6.3000000000000007</v>
      </c>
      <c r="G89" s="66"/>
      <c r="H89" s="67"/>
      <c r="I89" s="73">
        <f>vypocet!S13</f>
        <v>-1.1487272727272733</v>
      </c>
      <c r="J89" s="74"/>
      <c r="K89" s="75"/>
      <c r="L89" s="86"/>
      <c r="M89" s="72">
        <v>7</v>
      </c>
      <c r="N89" s="72"/>
      <c r="O89" s="72"/>
      <c r="P89" s="109">
        <f t="shared" si="0"/>
        <v>28.5</v>
      </c>
      <c r="Q89" s="110"/>
      <c r="R89" s="111"/>
      <c r="S89" s="73">
        <f>vypocet!S33</f>
        <v>-2.9028409090909091</v>
      </c>
      <c r="T89" s="74"/>
      <c r="U89" s="75"/>
      <c r="V89" s="86"/>
      <c r="W89" s="72">
        <v>7</v>
      </c>
      <c r="X89" s="72"/>
      <c r="Y89" s="72"/>
      <c r="Z89" s="109">
        <f t="shared" si="1"/>
        <v>54.29999999999999</v>
      </c>
      <c r="AA89" s="110"/>
      <c r="AB89" s="111"/>
      <c r="AC89" s="73">
        <f>vypocet!S53</f>
        <v>0.43874999999999981</v>
      </c>
      <c r="AD89" s="74"/>
      <c r="AE89" s="76"/>
    </row>
    <row r="90" spans="2:31" x14ac:dyDescent="0.25">
      <c r="B90" s="61"/>
      <c r="C90" s="72">
        <v>8</v>
      </c>
      <c r="D90" s="72"/>
      <c r="E90" s="72"/>
      <c r="F90" s="65">
        <f t="shared" si="2"/>
        <v>7.2000000000000011</v>
      </c>
      <c r="G90" s="66"/>
      <c r="H90" s="67"/>
      <c r="I90" s="73">
        <f>vypocet!S14</f>
        <v>-1.2567272727272734</v>
      </c>
      <c r="J90" s="74"/>
      <c r="K90" s="75"/>
      <c r="L90" s="86"/>
      <c r="M90" s="72">
        <v>8</v>
      </c>
      <c r="N90" s="72"/>
      <c r="O90" s="72"/>
      <c r="P90" s="109">
        <f t="shared" si="0"/>
        <v>30</v>
      </c>
      <c r="Q90" s="110"/>
      <c r="R90" s="111"/>
      <c r="S90" s="73">
        <f>vypocet!S34</f>
        <v>-2.8987012987012983</v>
      </c>
      <c r="T90" s="74"/>
      <c r="U90" s="75"/>
      <c r="V90" s="86"/>
      <c r="W90" s="72">
        <v>8</v>
      </c>
      <c r="X90" s="72"/>
      <c r="Y90" s="72"/>
      <c r="Z90" s="109">
        <f t="shared" si="1"/>
        <v>55.199999999999989</v>
      </c>
      <c r="AA90" s="110"/>
      <c r="AB90" s="111"/>
      <c r="AC90" s="73">
        <f>vypocet!S54</f>
        <v>0.44883116883116869</v>
      </c>
      <c r="AD90" s="74"/>
      <c r="AE90" s="76"/>
    </row>
    <row r="91" spans="2:31" x14ac:dyDescent="0.25">
      <c r="B91" s="61"/>
      <c r="C91" s="72">
        <v>9</v>
      </c>
      <c r="D91" s="72"/>
      <c r="E91" s="72"/>
      <c r="F91" s="65">
        <f t="shared" si="2"/>
        <v>8.1000000000000014</v>
      </c>
      <c r="G91" s="66"/>
      <c r="H91" s="67"/>
      <c r="I91" s="73">
        <f>vypocet!S15</f>
        <v>-1.3422857142857136</v>
      </c>
      <c r="J91" s="74"/>
      <c r="K91" s="75"/>
      <c r="L91" s="86"/>
      <c r="M91" s="72">
        <v>9</v>
      </c>
      <c r="N91" s="72"/>
      <c r="O91" s="72"/>
      <c r="P91" s="109">
        <f t="shared" si="0"/>
        <v>31.5</v>
      </c>
      <c r="Q91" s="110"/>
      <c r="R91" s="111"/>
      <c r="S91" s="73">
        <f>vypocet!S35</f>
        <v>-2.820535714285715</v>
      </c>
      <c r="T91" s="74"/>
      <c r="U91" s="75"/>
      <c r="V91" s="86"/>
      <c r="W91" s="72">
        <v>9</v>
      </c>
      <c r="X91" s="72"/>
      <c r="Y91" s="72"/>
      <c r="Z91" s="109">
        <f t="shared" si="1"/>
        <v>56.099999999999987</v>
      </c>
      <c r="AA91" s="110"/>
      <c r="AB91" s="111"/>
      <c r="AC91" s="73">
        <f>vypocet!S55</f>
        <v>0.44839285714285726</v>
      </c>
      <c r="AD91" s="74"/>
      <c r="AE91" s="76"/>
    </row>
    <row r="92" spans="2:31" x14ac:dyDescent="0.25">
      <c r="B92" s="61"/>
      <c r="C92" s="72">
        <v>10</v>
      </c>
      <c r="D92" s="72"/>
      <c r="E92" s="72"/>
      <c r="F92" s="65">
        <f t="shared" si="2"/>
        <v>9.0000000000000018</v>
      </c>
      <c r="G92" s="66"/>
      <c r="H92" s="67"/>
      <c r="I92" s="73">
        <f>vypocet!S16</f>
        <v>-1.4025974025974026</v>
      </c>
      <c r="J92" s="74"/>
      <c r="K92" s="75"/>
      <c r="L92" s="86"/>
      <c r="M92" s="72">
        <v>10</v>
      </c>
      <c r="N92" s="72"/>
      <c r="O92" s="72"/>
      <c r="P92" s="109">
        <f t="shared" si="0"/>
        <v>33</v>
      </c>
      <c r="Q92" s="110"/>
      <c r="R92" s="111"/>
      <c r="S92" s="73">
        <f>vypocet!S36</f>
        <v>-2.6785714285714288</v>
      </c>
      <c r="T92" s="74"/>
      <c r="U92" s="75"/>
      <c r="V92" s="86"/>
      <c r="W92" s="72">
        <v>10</v>
      </c>
      <c r="X92" s="72"/>
      <c r="Y92" s="72"/>
      <c r="Z92" s="109">
        <f t="shared" si="1"/>
        <v>56.999999999999986</v>
      </c>
      <c r="AA92" s="110"/>
      <c r="AB92" s="111"/>
      <c r="AC92" s="73">
        <f>vypocet!S56</f>
        <v>0.43831168831168849</v>
      </c>
      <c r="AD92" s="74"/>
      <c r="AE92" s="76"/>
    </row>
    <row r="93" spans="2:31" x14ac:dyDescent="0.25">
      <c r="B93" s="61"/>
      <c r="C93" s="72">
        <v>11</v>
      </c>
      <c r="D93" s="72"/>
      <c r="E93" s="72"/>
      <c r="F93" s="65">
        <f t="shared" si="2"/>
        <v>9.9000000000000021</v>
      </c>
      <c r="G93" s="66"/>
      <c r="H93" s="67"/>
      <c r="I93" s="73">
        <f>vypocet!S17</f>
        <v>-1.4348571428571426</v>
      </c>
      <c r="J93" s="74"/>
      <c r="K93" s="75"/>
      <c r="L93" s="86"/>
      <c r="M93" s="72">
        <v>11</v>
      </c>
      <c r="N93" s="72"/>
      <c r="O93" s="72"/>
      <c r="P93" s="109">
        <f t="shared" si="0"/>
        <v>34.5</v>
      </c>
      <c r="Q93" s="110"/>
      <c r="R93" s="111"/>
      <c r="S93" s="73">
        <f>vypocet!S37</f>
        <v>-2.4830357142857138</v>
      </c>
      <c r="T93" s="74"/>
      <c r="U93" s="75"/>
      <c r="V93" s="86"/>
      <c r="W93" s="72">
        <v>11</v>
      </c>
      <c r="X93" s="72"/>
      <c r="Y93" s="72"/>
      <c r="Z93" s="109">
        <f t="shared" si="1"/>
        <v>57.899999999999984</v>
      </c>
      <c r="AA93" s="110"/>
      <c r="AB93" s="111"/>
      <c r="AC93" s="73">
        <f>vypocet!S57</f>
        <v>0.41946428571428607</v>
      </c>
      <c r="AD93" s="74"/>
      <c r="AE93" s="76"/>
    </row>
    <row r="94" spans="2:31" x14ac:dyDescent="0.25">
      <c r="B94" s="61"/>
      <c r="C94" s="72">
        <v>12</v>
      </c>
      <c r="D94" s="72"/>
      <c r="E94" s="72"/>
      <c r="F94" s="65">
        <f t="shared" si="2"/>
        <v>10.800000000000002</v>
      </c>
      <c r="G94" s="66"/>
      <c r="H94" s="67"/>
      <c r="I94" s="73">
        <f>vypocet!S18</f>
        <v>-1.4362597402597408</v>
      </c>
      <c r="J94" s="74"/>
      <c r="K94" s="75"/>
      <c r="L94" s="86"/>
      <c r="M94" s="72">
        <v>12</v>
      </c>
      <c r="N94" s="72"/>
      <c r="O94" s="72"/>
      <c r="P94" s="109">
        <f t="shared" si="0"/>
        <v>36</v>
      </c>
      <c r="Q94" s="110"/>
      <c r="R94" s="111"/>
      <c r="S94" s="73">
        <f>vypocet!S38</f>
        <v>-2.244155844155844</v>
      </c>
      <c r="T94" s="74"/>
      <c r="U94" s="75"/>
      <c r="V94" s="86"/>
      <c r="W94" s="72">
        <v>12</v>
      </c>
      <c r="X94" s="72"/>
      <c r="Y94" s="72"/>
      <c r="Z94" s="109">
        <f t="shared" si="1"/>
        <v>58.799999999999983</v>
      </c>
      <c r="AA94" s="110"/>
      <c r="AB94" s="111"/>
      <c r="AC94" s="73">
        <f>vypocet!S58</f>
        <v>0.39272727272727315</v>
      </c>
      <c r="AD94" s="74"/>
      <c r="AE94" s="76"/>
    </row>
    <row r="95" spans="2:31" x14ac:dyDescent="0.25">
      <c r="B95" s="61"/>
      <c r="C95" s="72">
        <v>13</v>
      </c>
      <c r="D95" s="72"/>
      <c r="E95" s="72"/>
      <c r="F95" s="65">
        <f t="shared" si="2"/>
        <v>11.700000000000003</v>
      </c>
      <c r="G95" s="66"/>
      <c r="H95" s="67"/>
      <c r="I95" s="73">
        <f>vypocet!S19</f>
        <v>-1.4039999999999995</v>
      </c>
      <c r="J95" s="74"/>
      <c r="K95" s="75"/>
      <c r="L95" s="86"/>
      <c r="M95" s="72">
        <v>13</v>
      </c>
      <c r="N95" s="72"/>
      <c r="O95" s="72"/>
      <c r="P95" s="109">
        <f t="shared" si="0"/>
        <v>37.5</v>
      </c>
      <c r="Q95" s="110"/>
      <c r="R95" s="111"/>
      <c r="S95" s="73">
        <f>vypocet!S39</f>
        <v>-1.9721590909090907</v>
      </c>
      <c r="T95" s="74"/>
      <c r="U95" s="75"/>
      <c r="V95" s="86"/>
      <c r="W95" s="72">
        <v>13</v>
      </c>
      <c r="X95" s="72"/>
      <c r="Y95" s="72"/>
      <c r="Z95" s="109">
        <f t="shared" si="1"/>
        <v>59.699999999999982</v>
      </c>
      <c r="AA95" s="110"/>
      <c r="AB95" s="111"/>
      <c r="AC95" s="73">
        <f>vypocet!S59</f>
        <v>0.35897727272727337</v>
      </c>
      <c r="AD95" s="74"/>
      <c r="AE95" s="76"/>
    </row>
    <row r="96" spans="2:31" x14ac:dyDescent="0.25">
      <c r="B96" s="61"/>
      <c r="C96" s="72">
        <v>14</v>
      </c>
      <c r="D96" s="72"/>
      <c r="E96" s="72"/>
      <c r="F96" s="65">
        <f t="shared" si="2"/>
        <v>12.600000000000003</v>
      </c>
      <c r="G96" s="66"/>
      <c r="H96" s="67"/>
      <c r="I96" s="73">
        <f>vypocet!S20</f>
        <v>-1.3352727272727269</v>
      </c>
      <c r="J96" s="74"/>
      <c r="K96" s="75"/>
      <c r="L96" s="86"/>
      <c r="M96" s="72">
        <v>14</v>
      </c>
      <c r="N96" s="72"/>
      <c r="O96" s="72"/>
      <c r="P96" s="109">
        <f t="shared" si="0"/>
        <v>39</v>
      </c>
      <c r="Q96" s="110"/>
      <c r="R96" s="111"/>
      <c r="S96" s="73">
        <f>vypocet!S40</f>
        <v>-1.6772727272727272</v>
      </c>
      <c r="T96" s="74"/>
      <c r="U96" s="75"/>
      <c r="V96" s="86"/>
      <c r="W96" s="72">
        <v>14</v>
      </c>
      <c r="X96" s="72"/>
      <c r="Y96" s="72"/>
      <c r="Z96" s="109">
        <f t="shared" si="1"/>
        <v>60.59999999999998</v>
      </c>
      <c r="AA96" s="110"/>
      <c r="AB96" s="111"/>
      <c r="AC96" s="73">
        <f>vypocet!S60</f>
        <v>0.31909090909091009</v>
      </c>
      <c r="AD96" s="74"/>
      <c r="AE96" s="76"/>
    </row>
    <row r="97" spans="2:31" x14ac:dyDescent="0.25">
      <c r="B97" s="61"/>
      <c r="C97" s="72">
        <v>15</v>
      </c>
      <c r="D97" s="72"/>
      <c r="E97" s="72"/>
      <c r="F97" s="65">
        <f t="shared" si="2"/>
        <v>13.500000000000004</v>
      </c>
      <c r="G97" s="66"/>
      <c r="H97" s="67"/>
      <c r="I97" s="73">
        <f>vypocet!S21</f>
        <v>-1.2272727272727273</v>
      </c>
      <c r="J97" s="74"/>
      <c r="K97" s="75"/>
      <c r="L97" s="86"/>
      <c r="M97" s="72">
        <v>15</v>
      </c>
      <c r="N97" s="72"/>
      <c r="O97" s="72"/>
      <c r="P97" s="109">
        <f t="shared" si="0"/>
        <v>40.5</v>
      </c>
      <c r="Q97" s="110"/>
      <c r="R97" s="111"/>
      <c r="S97" s="73">
        <f>vypocet!S41</f>
        <v>-1.3697240259740258</v>
      </c>
      <c r="T97" s="74"/>
      <c r="U97" s="75"/>
      <c r="V97" s="86"/>
      <c r="W97" s="72">
        <v>15</v>
      </c>
      <c r="X97" s="72"/>
      <c r="Y97" s="72"/>
      <c r="Z97" s="109">
        <f t="shared" si="1"/>
        <v>61.499999999999979</v>
      </c>
      <c r="AA97" s="110"/>
      <c r="AB97" s="111"/>
      <c r="AC97" s="73">
        <f>vypocet!S61</f>
        <v>0.2739448051948063</v>
      </c>
      <c r="AD97" s="74"/>
      <c r="AE97" s="76"/>
    </row>
    <row r="98" spans="2:31" x14ac:dyDescent="0.25">
      <c r="B98" s="61"/>
      <c r="C98" s="72">
        <v>16</v>
      </c>
      <c r="D98" s="72"/>
      <c r="E98" s="72"/>
      <c r="F98" s="65">
        <f t="shared" si="2"/>
        <v>14.400000000000004</v>
      </c>
      <c r="G98" s="66"/>
      <c r="H98" s="67"/>
      <c r="I98" s="73">
        <f>vypocet!S22</f>
        <v>-1.0771948051948053</v>
      </c>
      <c r="J98" s="74"/>
      <c r="K98" s="75"/>
      <c r="L98" s="86"/>
      <c r="M98" s="72">
        <v>16</v>
      </c>
      <c r="N98" s="72"/>
      <c r="O98" s="72"/>
      <c r="P98" s="109">
        <f t="shared" si="0"/>
        <v>42</v>
      </c>
      <c r="Q98" s="110"/>
      <c r="R98" s="111"/>
      <c r="S98" s="73">
        <f>vypocet!S42</f>
        <v>-1.0597402597402594</v>
      </c>
      <c r="T98" s="74"/>
      <c r="U98" s="75"/>
      <c r="V98" s="86"/>
      <c r="W98" s="72">
        <v>16</v>
      </c>
      <c r="X98" s="72"/>
      <c r="Y98" s="72"/>
      <c r="Z98" s="109">
        <f t="shared" si="1"/>
        <v>62.399999999999977</v>
      </c>
      <c r="AA98" s="110"/>
      <c r="AB98" s="111"/>
      <c r="AC98" s="73">
        <f>vypocet!S62</f>
        <v>0.22441558441558573</v>
      </c>
      <c r="AD98" s="74"/>
      <c r="AE98" s="76"/>
    </row>
    <row r="99" spans="2:31" x14ac:dyDescent="0.25">
      <c r="B99" s="61"/>
      <c r="C99" s="72">
        <v>17</v>
      </c>
      <c r="D99" s="72"/>
      <c r="E99" s="72"/>
      <c r="F99" s="65">
        <f t="shared" si="2"/>
        <v>15.300000000000004</v>
      </c>
      <c r="G99" s="66"/>
      <c r="H99" s="67"/>
      <c r="I99" s="73">
        <f>vypocet!S23</f>
        <v>-0.88223376623376493</v>
      </c>
      <c r="J99" s="74"/>
      <c r="K99" s="75"/>
      <c r="L99" s="86"/>
      <c r="M99" s="72">
        <v>17</v>
      </c>
      <c r="N99" s="72"/>
      <c r="O99" s="72"/>
      <c r="P99" s="109">
        <f t="shared" si="0"/>
        <v>43.5</v>
      </c>
      <c r="Q99" s="110"/>
      <c r="R99" s="111"/>
      <c r="S99" s="73">
        <f>vypocet!S43</f>
        <v>-0.75754870129870133</v>
      </c>
      <c r="T99" s="74"/>
      <c r="U99" s="75"/>
      <c r="V99" s="86"/>
      <c r="W99" s="72">
        <v>17</v>
      </c>
      <c r="X99" s="72"/>
      <c r="Y99" s="72"/>
      <c r="Z99" s="109">
        <f t="shared" si="1"/>
        <v>63.299999999999976</v>
      </c>
      <c r="AA99" s="110"/>
      <c r="AB99" s="111"/>
      <c r="AC99" s="73">
        <f>vypocet!S63</f>
        <v>0.17137987012987158</v>
      </c>
      <c r="AD99" s="74"/>
      <c r="AE99" s="76"/>
    </row>
    <row r="100" spans="2:31" x14ac:dyDescent="0.25">
      <c r="B100" s="61"/>
      <c r="C100" s="72">
        <v>18</v>
      </c>
      <c r="D100" s="72"/>
      <c r="E100" s="72"/>
      <c r="F100" s="65">
        <f t="shared" si="2"/>
        <v>16.200000000000003</v>
      </c>
      <c r="G100" s="66"/>
      <c r="H100" s="67"/>
      <c r="I100" s="73">
        <f>vypocet!S24</f>
        <v>-0.63958441558441448</v>
      </c>
      <c r="J100" s="74"/>
      <c r="K100" s="75"/>
      <c r="L100" s="86"/>
      <c r="M100" s="72">
        <v>18</v>
      </c>
      <c r="N100" s="72"/>
      <c r="O100" s="72"/>
      <c r="P100" s="109">
        <f t="shared" si="0"/>
        <v>45</v>
      </c>
      <c r="Q100" s="110"/>
      <c r="R100" s="111"/>
      <c r="S100" s="73">
        <f>vypocet!S44</f>
        <v>-0.47337662337662323</v>
      </c>
      <c r="T100" s="74"/>
      <c r="U100" s="75"/>
      <c r="V100" s="86"/>
      <c r="W100" s="72">
        <v>18</v>
      </c>
      <c r="X100" s="72"/>
      <c r="Y100" s="72"/>
      <c r="Z100" s="109">
        <f t="shared" si="1"/>
        <v>64.199999999999974</v>
      </c>
      <c r="AA100" s="110"/>
      <c r="AB100" s="111"/>
      <c r="AC100" s="73">
        <f>vypocet!S64</f>
        <v>0.11571428571428732</v>
      </c>
      <c r="AD100" s="74"/>
      <c r="AE100" s="76"/>
    </row>
    <row r="101" spans="2:31" x14ac:dyDescent="0.25">
      <c r="B101" s="61"/>
      <c r="C101" s="72">
        <v>19</v>
      </c>
      <c r="D101" s="72"/>
      <c r="E101" s="72"/>
      <c r="F101" s="65">
        <f t="shared" si="2"/>
        <v>17.100000000000001</v>
      </c>
      <c r="G101" s="66"/>
      <c r="H101" s="67"/>
      <c r="I101" s="73">
        <f>vypocet!S25</f>
        <v>-0.34644155844155794</v>
      </c>
      <c r="J101" s="74"/>
      <c r="K101" s="75"/>
      <c r="L101" s="86"/>
      <c r="M101" s="72">
        <v>19</v>
      </c>
      <c r="N101" s="72"/>
      <c r="O101" s="72"/>
      <c r="P101" s="109">
        <f t="shared" si="0"/>
        <v>46.5</v>
      </c>
      <c r="Q101" s="110"/>
      <c r="R101" s="111"/>
      <c r="S101" s="73">
        <f>vypocet!S45</f>
        <v>-0.2174512987012989</v>
      </c>
      <c r="T101" s="74"/>
      <c r="U101" s="75"/>
      <c r="V101" s="86"/>
      <c r="W101" s="72">
        <v>19</v>
      </c>
      <c r="X101" s="72"/>
      <c r="Y101" s="72"/>
      <c r="Z101" s="109">
        <f t="shared" si="1"/>
        <v>65.09999999999998</v>
      </c>
      <c r="AA101" s="110"/>
      <c r="AB101" s="111"/>
      <c r="AC101" s="73">
        <f>vypocet!S65</f>
        <v>5.8295454545455878E-2</v>
      </c>
      <c r="AD101" s="74"/>
      <c r="AE101" s="76"/>
    </row>
    <row r="102" spans="2:31" x14ac:dyDescent="0.25">
      <c r="B102" s="62"/>
      <c r="C102" s="77">
        <v>20</v>
      </c>
      <c r="D102" s="77"/>
      <c r="E102" s="77"/>
      <c r="F102" s="78">
        <f t="shared" si="2"/>
        <v>18</v>
      </c>
      <c r="G102" s="79"/>
      <c r="H102" s="80"/>
      <c r="I102" s="81">
        <f>vypocet!S26</f>
        <v>0</v>
      </c>
      <c r="J102" s="82"/>
      <c r="K102" s="83"/>
      <c r="L102" s="87"/>
      <c r="M102" s="77">
        <v>20</v>
      </c>
      <c r="N102" s="77"/>
      <c r="O102" s="77"/>
      <c r="P102" s="112">
        <f t="shared" si="0"/>
        <v>48</v>
      </c>
      <c r="Q102" s="113"/>
      <c r="R102" s="114"/>
      <c r="S102" s="81">
        <f>vypocet!S46</f>
        <v>0</v>
      </c>
      <c r="T102" s="82"/>
      <c r="U102" s="83"/>
      <c r="V102" s="87"/>
      <c r="W102" s="77">
        <v>20</v>
      </c>
      <c r="X102" s="77"/>
      <c r="Y102" s="77"/>
      <c r="Z102" s="112">
        <f t="shared" si="1"/>
        <v>65.999999999999986</v>
      </c>
      <c r="AA102" s="113"/>
      <c r="AB102" s="114"/>
      <c r="AC102" s="81">
        <f>vypocet!S66</f>
        <v>9.0836429287512806E-16</v>
      </c>
      <c r="AD102" s="82"/>
      <c r="AE102" s="84"/>
    </row>
    <row r="103" spans="2:31" ht="16.2" thickBot="1" x14ac:dyDescent="0.3">
      <c r="B103" s="49" t="s">
        <v>44</v>
      </c>
      <c r="C103" s="50"/>
      <c r="D103" s="50"/>
      <c r="E103" s="50"/>
      <c r="F103" s="50"/>
      <c r="G103" s="50"/>
      <c r="H103" s="50"/>
      <c r="I103" s="51">
        <f>0.5*K16/20*(2*SUM(I82:K102)-I82-I102)</f>
        <v>-16.789090909090909</v>
      </c>
      <c r="J103" s="52"/>
      <c r="K103" s="53"/>
      <c r="L103" s="108" t="s">
        <v>44</v>
      </c>
      <c r="M103" s="50"/>
      <c r="N103" s="50"/>
      <c r="O103" s="50"/>
      <c r="P103" s="50"/>
      <c r="Q103" s="50"/>
      <c r="R103" s="50"/>
      <c r="S103" s="54">
        <f>0.5*K14/20*(2*SUM(S82:U102)-S82-S102)</f>
        <v>-53.4375</v>
      </c>
      <c r="T103" s="55"/>
      <c r="U103" s="56"/>
      <c r="V103" s="108" t="s">
        <v>44</v>
      </c>
      <c r="W103" s="50"/>
      <c r="X103" s="50"/>
      <c r="Y103" s="50"/>
      <c r="Z103" s="50"/>
      <c r="AA103" s="50"/>
      <c r="AB103" s="50"/>
      <c r="AC103" s="54">
        <f>0.5*K16/20*(2*SUM(AC82:AE102)-AC82-AC102)</f>
        <v>5.2465909090909149</v>
      </c>
      <c r="AD103" s="55"/>
      <c r="AE103" s="57"/>
    </row>
    <row r="104" spans="2:31" x14ac:dyDescent="0.25">
      <c r="B104" s="4"/>
      <c r="C104" s="9" t="s">
        <v>24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6" spans="2:31" x14ac:dyDescent="0.25">
      <c r="E106" t="s">
        <v>43</v>
      </c>
      <c r="Q106" s="58">
        <v>10.4</v>
      </c>
      <c r="R106" s="58"/>
      <c r="S106" s="58"/>
      <c r="T106" t="s">
        <v>3</v>
      </c>
      <c r="W106" s="116">
        <f>IF(Q106&lt;=K16,(-Q106*(K16-Q106)*(Q106+K16)/2/K16/K16)+3/K16*(Q106/2*(1-Q106*Q106/K16/K16))*vypocet!P3,IF(Q106&lt;=(K16+K14),3/K16*((-(Q106-K16)+2*(Q106-K16)^2/K14-(Q106-K16)^3/K14^2)*vypocet!P3+((Q106-K16)^2/K14-(Q106-K16)^3/K14^2)*vypocet!P4),3/K16*(-(Q106-K16-K14)+3*(Q106-K16-K14)^2/2/K16-(Q106-K16-K14)^3/2/K16^2)*vypocet!P4))</f>
        <v>-1.4396254609587942</v>
      </c>
      <c r="X106" s="116"/>
      <c r="Y106" s="116"/>
      <c r="Z106" t="s">
        <v>18</v>
      </c>
    </row>
    <row r="108" spans="2:31" x14ac:dyDescent="0.25">
      <c r="B108" s="10" t="s">
        <v>29</v>
      </c>
    </row>
    <row r="123" spans="2:22" ht="15" x14ac:dyDescent="0.25">
      <c r="B123" s="6" t="s">
        <v>45</v>
      </c>
      <c r="F123" t="s">
        <v>46</v>
      </c>
    </row>
    <row r="126" spans="2:22" x14ac:dyDescent="0.25">
      <c r="K126" s="1" t="s">
        <v>47</v>
      </c>
      <c r="L126" s="88">
        <f>K16+K14/2</f>
        <v>33</v>
      </c>
      <c r="M126" s="88"/>
      <c r="N126" s="88"/>
      <c r="O126" s="5" t="s">
        <v>3</v>
      </c>
    </row>
    <row r="127" spans="2:22" ht="17.25" customHeight="1" x14ac:dyDescent="0.25">
      <c r="K127" s="1" t="s">
        <v>38</v>
      </c>
      <c r="L127" s="120">
        <f>vypocet!W36</f>
        <v>4.8214285714285712</v>
      </c>
      <c r="M127" s="120"/>
      <c r="N127" s="120"/>
      <c r="R127" s="1" t="s">
        <v>14</v>
      </c>
      <c r="S127" s="107">
        <f>vypocet!N36</f>
        <v>33</v>
      </c>
      <c r="T127" s="107"/>
      <c r="U127" s="107"/>
      <c r="V127" s="5" t="s">
        <v>3</v>
      </c>
    </row>
    <row r="128" spans="2:22" x14ac:dyDescent="0.25">
      <c r="K128" s="1" t="s">
        <v>39</v>
      </c>
      <c r="L128" s="120">
        <f>(-S128/2/K14+S128^3/2/K16^2/K14)*vypocet!P3+(S128/2/K14-S128^3/2/K14/K16^2)*vypocet!Q3</f>
        <v>-0.49487165930539345</v>
      </c>
      <c r="M128" s="120"/>
      <c r="N128" s="120"/>
      <c r="R128" s="1" t="s">
        <v>14</v>
      </c>
      <c r="S128" s="107">
        <f>vypocet!H6</f>
        <v>10.392304845413264</v>
      </c>
      <c r="T128" s="107"/>
      <c r="U128" s="107"/>
      <c r="V128" s="5" t="s">
        <v>3</v>
      </c>
    </row>
    <row r="129" spans="2:31" ht="27" customHeight="1" thickBot="1" x14ac:dyDescent="0.4">
      <c r="B129" s="5" t="s">
        <v>25</v>
      </c>
    </row>
    <row r="130" spans="2:31" x14ac:dyDescent="0.25">
      <c r="B130" s="91" t="s">
        <v>16</v>
      </c>
      <c r="C130" s="92"/>
      <c r="D130" s="92"/>
      <c r="E130" s="93"/>
      <c r="F130" s="97" t="s">
        <v>17</v>
      </c>
      <c r="G130" s="92"/>
      <c r="H130" s="93"/>
      <c r="I130" s="121" t="s">
        <v>48</v>
      </c>
      <c r="J130" s="92"/>
      <c r="K130" s="122"/>
      <c r="L130" s="100" t="s">
        <v>16</v>
      </c>
      <c r="M130" s="92"/>
      <c r="N130" s="92"/>
      <c r="O130" s="93"/>
      <c r="P130" s="97" t="s">
        <v>17</v>
      </c>
      <c r="Q130" s="92"/>
      <c r="R130" s="93"/>
      <c r="S130" s="98" t="s">
        <v>48</v>
      </c>
      <c r="T130" s="92"/>
      <c r="U130" s="92"/>
      <c r="V130" s="100" t="s">
        <v>16</v>
      </c>
      <c r="W130" s="92"/>
      <c r="X130" s="92"/>
      <c r="Y130" s="93"/>
      <c r="Z130" s="97" t="s">
        <v>17</v>
      </c>
      <c r="AA130" s="92"/>
      <c r="AB130" s="93"/>
      <c r="AC130" s="98" t="s">
        <v>48</v>
      </c>
      <c r="AD130" s="92"/>
      <c r="AE130" s="99"/>
    </row>
    <row r="131" spans="2:31" ht="13.8" thickBot="1" x14ac:dyDescent="0.3">
      <c r="B131" s="94"/>
      <c r="C131" s="95"/>
      <c r="D131" s="95"/>
      <c r="E131" s="96"/>
      <c r="F131" s="102" t="s">
        <v>18</v>
      </c>
      <c r="G131" s="95"/>
      <c r="H131" s="96"/>
      <c r="I131" s="102" t="s">
        <v>18</v>
      </c>
      <c r="J131" s="95"/>
      <c r="K131" s="103"/>
      <c r="L131" s="101"/>
      <c r="M131" s="95"/>
      <c r="N131" s="95"/>
      <c r="O131" s="96"/>
      <c r="P131" s="102" t="s">
        <v>18</v>
      </c>
      <c r="Q131" s="95"/>
      <c r="R131" s="96"/>
      <c r="S131" s="95" t="s">
        <v>18</v>
      </c>
      <c r="T131" s="95"/>
      <c r="U131" s="95"/>
      <c r="V131" s="101"/>
      <c r="W131" s="95"/>
      <c r="X131" s="95"/>
      <c r="Y131" s="96"/>
      <c r="Z131" s="102" t="s">
        <v>18</v>
      </c>
      <c r="AA131" s="95"/>
      <c r="AB131" s="96"/>
      <c r="AC131" s="95" t="s">
        <v>18</v>
      </c>
      <c r="AD131" s="95"/>
      <c r="AE131" s="104"/>
    </row>
    <row r="132" spans="2:31" ht="13.8" thickTop="1" x14ac:dyDescent="0.25">
      <c r="B132" s="60" t="s">
        <v>19</v>
      </c>
      <c r="C132" s="63">
        <v>0</v>
      </c>
      <c r="D132" s="63"/>
      <c r="E132" s="64"/>
      <c r="F132" s="65">
        <f>F82</f>
        <v>0</v>
      </c>
      <c r="G132" s="66"/>
      <c r="H132" s="67"/>
      <c r="I132" s="68">
        <f>vypocet!W6</f>
        <v>0</v>
      </c>
      <c r="J132" s="69"/>
      <c r="K132" s="70"/>
      <c r="L132" s="85" t="s">
        <v>20</v>
      </c>
      <c r="M132" s="63">
        <v>0</v>
      </c>
      <c r="N132" s="63"/>
      <c r="O132" s="64"/>
      <c r="P132" s="115">
        <f>P82</f>
        <v>18</v>
      </c>
      <c r="Q132" s="63"/>
      <c r="R132" s="64"/>
      <c r="S132" s="68">
        <f>vypocet!W26</f>
        <v>0</v>
      </c>
      <c r="T132" s="69"/>
      <c r="U132" s="70"/>
      <c r="V132" s="85" t="s">
        <v>22</v>
      </c>
      <c r="W132" s="63">
        <v>0</v>
      </c>
      <c r="X132" s="63"/>
      <c r="Y132" s="64"/>
      <c r="Z132" s="115">
        <f>Z82</f>
        <v>48</v>
      </c>
      <c r="AA132" s="63"/>
      <c r="AB132" s="64"/>
      <c r="AC132" s="68">
        <f>vypocet!W46</f>
        <v>0</v>
      </c>
      <c r="AD132" s="69"/>
      <c r="AE132" s="71"/>
    </row>
    <row r="133" spans="2:31" x14ac:dyDescent="0.25">
      <c r="B133" s="61"/>
      <c r="C133" s="72">
        <v>1</v>
      </c>
      <c r="D133" s="72"/>
      <c r="E133" s="72"/>
      <c r="F133" s="65">
        <f>F83</f>
        <v>0.9</v>
      </c>
      <c r="G133" s="66"/>
      <c r="H133" s="67"/>
      <c r="I133" s="73">
        <f>vypocet!W7</f>
        <v>-6.4125000000000001E-2</v>
      </c>
      <c r="J133" s="74"/>
      <c r="K133" s="75"/>
      <c r="L133" s="86"/>
      <c r="M133" s="72">
        <v>1</v>
      </c>
      <c r="N133" s="72"/>
      <c r="O133" s="72"/>
      <c r="P133" s="109">
        <f>P83</f>
        <v>19.5</v>
      </c>
      <c r="Q133" s="110"/>
      <c r="R133" s="111"/>
      <c r="S133" s="73">
        <f>vypocet!W27</f>
        <v>0.2410714285714286</v>
      </c>
      <c r="T133" s="74"/>
      <c r="U133" s="75"/>
      <c r="V133" s="86"/>
      <c r="W133" s="72">
        <v>1</v>
      </c>
      <c r="X133" s="72"/>
      <c r="Y133" s="72"/>
      <c r="Z133" s="109">
        <f>Z83</f>
        <v>48.9</v>
      </c>
      <c r="AA133" s="110"/>
      <c r="AB133" s="111"/>
      <c r="AC133" s="73">
        <f>vypocet!W47</f>
        <v>-0.11908928571428554</v>
      </c>
      <c r="AD133" s="74"/>
      <c r="AE133" s="76"/>
    </row>
    <row r="134" spans="2:31" x14ac:dyDescent="0.25">
      <c r="B134" s="61"/>
      <c r="C134" s="72">
        <v>2</v>
      </c>
      <c r="D134" s="72"/>
      <c r="E134" s="72"/>
      <c r="F134" s="65">
        <f t="shared" ref="F134:F152" si="3">F84</f>
        <v>1.8</v>
      </c>
      <c r="G134" s="66"/>
      <c r="H134" s="67"/>
      <c r="I134" s="73">
        <f>vypocet!W8</f>
        <v>-0.12728571428571431</v>
      </c>
      <c r="J134" s="74"/>
      <c r="K134" s="75"/>
      <c r="L134" s="86"/>
      <c r="M134" s="72">
        <v>2</v>
      </c>
      <c r="N134" s="72"/>
      <c r="O134" s="72"/>
      <c r="P134" s="109">
        <f t="shared" ref="P134:P152" si="4">P84</f>
        <v>21</v>
      </c>
      <c r="Q134" s="110"/>
      <c r="R134" s="111"/>
      <c r="S134" s="73">
        <f>vypocet!W28</f>
        <v>0.5357142857142857</v>
      </c>
      <c r="T134" s="74"/>
      <c r="U134" s="75"/>
      <c r="V134" s="86"/>
      <c r="W134" s="72">
        <v>2</v>
      </c>
      <c r="X134" s="72"/>
      <c r="Y134" s="72"/>
      <c r="Z134" s="109">
        <f t="shared" ref="Z134:Z152" si="5">Z84</f>
        <v>49.8</v>
      </c>
      <c r="AA134" s="110"/>
      <c r="AB134" s="111"/>
      <c r="AC134" s="73">
        <f>vypocet!W48</f>
        <v>-0.21985714285714258</v>
      </c>
      <c r="AD134" s="74"/>
      <c r="AE134" s="76"/>
    </row>
    <row r="135" spans="2:31" x14ac:dyDescent="0.25">
      <c r="B135" s="61"/>
      <c r="C135" s="72">
        <v>3</v>
      </c>
      <c r="D135" s="72"/>
      <c r="E135" s="72"/>
      <c r="F135" s="65">
        <f t="shared" si="3"/>
        <v>2.7</v>
      </c>
      <c r="G135" s="66"/>
      <c r="H135" s="67"/>
      <c r="I135" s="73">
        <f>vypocet!W9</f>
        <v>-0.18851785714285707</v>
      </c>
      <c r="J135" s="74"/>
      <c r="K135" s="75"/>
      <c r="L135" s="86"/>
      <c r="M135" s="72">
        <v>3</v>
      </c>
      <c r="N135" s="72"/>
      <c r="O135" s="72"/>
      <c r="P135" s="109">
        <f t="shared" si="4"/>
        <v>22.5</v>
      </c>
      <c r="Q135" s="110"/>
      <c r="R135" s="111"/>
      <c r="S135" s="73">
        <f>vypocet!W29</f>
        <v>0.8839285714285714</v>
      </c>
      <c r="T135" s="74"/>
      <c r="U135" s="75"/>
      <c r="V135" s="86"/>
      <c r="W135" s="72">
        <v>3</v>
      </c>
      <c r="X135" s="72"/>
      <c r="Y135" s="72"/>
      <c r="Z135" s="109">
        <f t="shared" si="5"/>
        <v>50.699999999999996</v>
      </c>
      <c r="AA135" s="110"/>
      <c r="AB135" s="111"/>
      <c r="AC135" s="73">
        <f>vypocet!W49</f>
        <v>-0.30326785714285676</v>
      </c>
      <c r="AD135" s="74"/>
      <c r="AE135" s="76"/>
    </row>
    <row r="136" spans="2:31" x14ac:dyDescent="0.25">
      <c r="B136" s="61"/>
      <c r="C136" s="72">
        <v>4</v>
      </c>
      <c r="D136" s="72"/>
      <c r="E136" s="72"/>
      <c r="F136" s="65">
        <f t="shared" si="3"/>
        <v>3.6</v>
      </c>
      <c r="G136" s="66"/>
      <c r="H136" s="67"/>
      <c r="I136" s="73">
        <f>vypocet!W10</f>
        <v>-0.24685714285714286</v>
      </c>
      <c r="J136" s="74"/>
      <c r="K136" s="75"/>
      <c r="L136" s="86"/>
      <c r="M136" s="72">
        <v>4</v>
      </c>
      <c r="N136" s="72"/>
      <c r="O136" s="72"/>
      <c r="P136" s="109">
        <f t="shared" si="4"/>
        <v>24</v>
      </c>
      <c r="Q136" s="110"/>
      <c r="R136" s="111"/>
      <c r="S136" s="73">
        <f>vypocet!W30</f>
        <v>1.285714285714286</v>
      </c>
      <c r="T136" s="74"/>
      <c r="U136" s="75"/>
      <c r="V136" s="86"/>
      <c r="W136" s="72">
        <v>4</v>
      </c>
      <c r="X136" s="72"/>
      <c r="Y136" s="72"/>
      <c r="Z136" s="109">
        <f t="shared" si="5"/>
        <v>51.599999999999994</v>
      </c>
      <c r="AA136" s="110"/>
      <c r="AB136" s="111"/>
      <c r="AC136" s="73">
        <f>vypocet!W50</f>
        <v>-0.37028571428571389</v>
      </c>
      <c r="AD136" s="74"/>
      <c r="AE136" s="76"/>
    </row>
    <row r="137" spans="2:31" x14ac:dyDescent="0.25">
      <c r="B137" s="61"/>
      <c r="C137" s="72">
        <v>5</v>
      </c>
      <c r="D137" s="72"/>
      <c r="E137" s="72"/>
      <c r="F137" s="65">
        <f t="shared" si="3"/>
        <v>4.5</v>
      </c>
      <c r="G137" s="66"/>
      <c r="H137" s="67"/>
      <c r="I137" s="73">
        <f>vypocet!W11</f>
        <v>-0.3013392857142857</v>
      </c>
      <c r="J137" s="74"/>
      <c r="K137" s="75"/>
      <c r="L137" s="86"/>
      <c r="M137" s="72">
        <v>5</v>
      </c>
      <c r="N137" s="72"/>
      <c r="O137" s="72"/>
      <c r="P137" s="109">
        <f t="shared" si="4"/>
        <v>25.5</v>
      </c>
      <c r="Q137" s="110"/>
      <c r="R137" s="111"/>
      <c r="S137" s="73">
        <f>vypocet!W31</f>
        <v>1.7410714285714284</v>
      </c>
      <c r="T137" s="74"/>
      <c r="U137" s="75"/>
      <c r="V137" s="86"/>
      <c r="W137" s="72">
        <v>5</v>
      </c>
      <c r="X137" s="72"/>
      <c r="Y137" s="72"/>
      <c r="Z137" s="109">
        <f t="shared" si="5"/>
        <v>52.499999999999993</v>
      </c>
      <c r="AA137" s="110"/>
      <c r="AB137" s="111"/>
      <c r="AC137" s="73">
        <f>vypocet!W51</f>
        <v>-0.42187499999999967</v>
      </c>
      <c r="AD137" s="74"/>
      <c r="AE137" s="76"/>
    </row>
    <row r="138" spans="2:31" x14ac:dyDescent="0.25">
      <c r="B138" s="61"/>
      <c r="C138" s="72">
        <v>6</v>
      </c>
      <c r="D138" s="72"/>
      <c r="E138" s="72"/>
      <c r="F138" s="65">
        <f t="shared" si="3"/>
        <v>5.4</v>
      </c>
      <c r="G138" s="66"/>
      <c r="H138" s="67"/>
      <c r="I138" s="73">
        <f>vypocet!W12</f>
        <v>-0.35100000000000009</v>
      </c>
      <c r="J138" s="74"/>
      <c r="K138" s="75"/>
      <c r="L138" s="86"/>
      <c r="M138" s="72">
        <v>6</v>
      </c>
      <c r="N138" s="72"/>
      <c r="O138" s="72"/>
      <c r="P138" s="109">
        <f t="shared" si="4"/>
        <v>27</v>
      </c>
      <c r="Q138" s="110"/>
      <c r="R138" s="111"/>
      <c r="S138" s="73">
        <f>vypocet!W32</f>
        <v>2.25</v>
      </c>
      <c r="T138" s="74"/>
      <c r="U138" s="75"/>
      <c r="V138" s="86"/>
      <c r="W138" s="72">
        <v>6</v>
      </c>
      <c r="X138" s="72"/>
      <c r="Y138" s="72"/>
      <c r="Z138" s="109">
        <f t="shared" si="5"/>
        <v>53.399999999999991</v>
      </c>
      <c r="AA138" s="110"/>
      <c r="AB138" s="111"/>
      <c r="AC138" s="73">
        <f>vypocet!W52</f>
        <v>-0.45899999999999963</v>
      </c>
      <c r="AD138" s="74"/>
      <c r="AE138" s="76"/>
    </row>
    <row r="139" spans="2:31" x14ac:dyDescent="0.25">
      <c r="B139" s="61"/>
      <c r="C139" s="72">
        <v>7</v>
      </c>
      <c r="D139" s="72"/>
      <c r="E139" s="72"/>
      <c r="F139" s="65">
        <f t="shared" si="3"/>
        <v>6.3000000000000007</v>
      </c>
      <c r="G139" s="66"/>
      <c r="H139" s="67"/>
      <c r="I139" s="73">
        <f>vypocet!W13</f>
        <v>-0.39487499999999998</v>
      </c>
      <c r="J139" s="74"/>
      <c r="K139" s="75"/>
      <c r="L139" s="86"/>
      <c r="M139" s="72">
        <v>7</v>
      </c>
      <c r="N139" s="72"/>
      <c r="O139" s="72"/>
      <c r="P139" s="109">
        <f t="shared" si="4"/>
        <v>28.5</v>
      </c>
      <c r="Q139" s="110"/>
      <c r="R139" s="111"/>
      <c r="S139" s="73">
        <f>vypocet!W33</f>
        <v>2.8125</v>
      </c>
      <c r="T139" s="74"/>
      <c r="U139" s="75"/>
      <c r="V139" s="86"/>
      <c r="W139" s="72">
        <v>7</v>
      </c>
      <c r="X139" s="72"/>
      <c r="Y139" s="72"/>
      <c r="Z139" s="109">
        <f t="shared" si="5"/>
        <v>54.29999999999999</v>
      </c>
      <c r="AA139" s="110"/>
      <c r="AB139" s="111"/>
      <c r="AC139" s="73">
        <f>vypocet!W53</f>
        <v>-0.4826249999999998</v>
      </c>
      <c r="AD139" s="74"/>
      <c r="AE139" s="76"/>
    </row>
    <row r="140" spans="2:31" x14ac:dyDescent="0.25">
      <c r="B140" s="61"/>
      <c r="C140" s="72">
        <v>8</v>
      </c>
      <c r="D140" s="72"/>
      <c r="E140" s="72"/>
      <c r="F140" s="65">
        <f t="shared" si="3"/>
        <v>7.2000000000000011</v>
      </c>
      <c r="G140" s="66"/>
      <c r="H140" s="67"/>
      <c r="I140" s="73">
        <f>vypocet!W14</f>
        <v>-0.43200000000000005</v>
      </c>
      <c r="J140" s="74"/>
      <c r="K140" s="75"/>
      <c r="L140" s="86"/>
      <c r="M140" s="72">
        <v>8</v>
      </c>
      <c r="N140" s="72"/>
      <c r="O140" s="72"/>
      <c r="P140" s="109">
        <f t="shared" si="4"/>
        <v>30</v>
      </c>
      <c r="Q140" s="110"/>
      <c r="R140" s="111"/>
      <c r="S140" s="73">
        <f>vypocet!W34</f>
        <v>3.4285714285714284</v>
      </c>
      <c r="T140" s="74"/>
      <c r="U140" s="75"/>
      <c r="V140" s="86"/>
      <c r="W140" s="72">
        <v>8</v>
      </c>
      <c r="X140" s="72"/>
      <c r="Y140" s="72"/>
      <c r="Z140" s="109">
        <f t="shared" si="5"/>
        <v>55.199999999999989</v>
      </c>
      <c r="AA140" s="110"/>
      <c r="AB140" s="111"/>
      <c r="AC140" s="73">
        <f>vypocet!W54</f>
        <v>-0.49371428571428566</v>
      </c>
      <c r="AD140" s="74"/>
      <c r="AE140" s="76"/>
    </row>
    <row r="141" spans="2:31" x14ac:dyDescent="0.25">
      <c r="B141" s="61"/>
      <c r="C141" s="72">
        <v>9</v>
      </c>
      <c r="D141" s="72"/>
      <c r="E141" s="72"/>
      <c r="F141" s="65">
        <f t="shared" si="3"/>
        <v>8.1000000000000014</v>
      </c>
      <c r="G141" s="66"/>
      <c r="H141" s="67"/>
      <c r="I141" s="73">
        <f>vypocet!W15</f>
        <v>-0.46141071428571434</v>
      </c>
      <c r="J141" s="74"/>
      <c r="K141" s="75"/>
      <c r="L141" s="86"/>
      <c r="M141" s="72">
        <v>9</v>
      </c>
      <c r="N141" s="72"/>
      <c r="O141" s="72"/>
      <c r="P141" s="109">
        <f t="shared" si="4"/>
        <v>31.5</v>
      </c>
      <c r="Q141" s="110"/>
      <c r="R141" s="111"/>
      <c r="S141" s="73">
        <f>vypocet!W35</f>
        <v>4.0982142857142856</v>
      </c>
      <c r="T141" s="74"/>
      <c r="U141" s="75"/>
      <c r="V141" s="86"/>
      <c r="W141" s="72">
        <v>9</v>
      </c>
      <c r="X141" s="72"/>
      <c r="Y141" s="72"/>
      <c r="Z141" s="109">
        <f t="shared" si="5"/>
        <v>56.099999999999987</v>
      </c>
      <c r="AA141" s="110"/>
      <c r="AB141" s="111"/>
      <c r="AC141" s="73">
        <f>vypocet!W55</f>
        <v>-0.49323214285714301</v>
      </c>
      <c r="AD141" s="74"/>
      <c r="AE141" s="76"/>
    </row>
    <row r="142" spans="2:31" x14ac:dyDescent="0.25">
      <c r="B142" s="61"/>
      <c r="C142" s="72">
        <v>10</v>
      </c>
      <c r="D142" s="72"/>
      <c r="E142" s="72"/>
      <c r="F142" s="65">
        <f t="shared" si="3"/>
        <v>9.0000000000000018</v>
      </c>
      <c r="G142" s="66"/>
      <c r="H142" s="67"/>
      <c r="I142" s="73">
        <f>vypocet!W16</f>
        <v>-0.4821428571428571</v>
      </c>
      <c r="J142" s="74"/>
      <c r="K142" s="75"/>
      <c r="L142" s="86"/>
      <c r="M142" s="72">
        <v>10</v>
      </c>
      <c r="N142" s="72"/>
      <c r="O142" s="72"/>
      <c r="P142" s="109">
        <f t="shared" si="4"/>
        <v>33</v>
      </c>
      <c r="Q142" s="110"/>
      <c r="R142" s="111"/>
      <c r="S142" s="73">
        <f>vypocet!W36</f>
        <v>4.8214285714285712</v>
      </c>
      <c r="T142" s="74"/>
      <c r="U142" s="75"/>
      <c r="V142" s="86"/>
      <c r="W142" s="72">
        <v>10</v>
      </c>
      <c r="X142" s="72"/>
      <c r="Y142" s="72"/>
      <c r="Z142" s="109">
        <f t="shared" si="5"/>
        <v>56.999999999999986</v>
      </c>
      <c r="AA142" s="110"/>
      <c r="AB142" s="111"/>
      <c r="AC142" s="73">
        <f>vypocet!W56</f>
        <v>-0.48214285714285743</v>
      </c>
      <c r="AD142" s="74"/>
      <c r="AE142" s="76"/>
    </row>
    <row r="143" spans="2:31" x14ac:dyDescent="0.25">
      <c r="B143" s="61"/>
      <c r="C143" s="72">
        <v>11</v>
      </c>
      <c r="D143" s="72"/>
      <c r="E143" s="72"/>
      <c r="F143" s="65">
        <f t="shared" si="3"/>
        <v>9.9000000000000021</v>
      </c>
      <c r="G143" s="66"/>
      <c r="H143" s="67"/>
      <c r="I143" s="73">
        <f>vypocet!W17</f>
        <v>-0.4932321428571429</v>
      </c>
      <c r="J143" s="74"/>
      <c r="K143" s="75"/>
      <c r="L143" s="86"/>
      <c r="M143" s="72">
        <v>11</v>
      </c>
      <c r="N143" s="72"/>
      <c r="O143" s="72"/>
      <c r="P143" s="109">
        <f t="shared" si="4"/>
        <v>34.5</v>
      </c>
      <c r="Q143" s="110"/>
      <c r="R143" s="111"/>
      <c r="S143" s="73">
        <f>vypocet!W37</f>
        <v>4.0982142857142856</v>
      </c>
      <c r="T143" s="74"/>
      <c r="U143" s="75"/>
      <c r="V143" s="86"/>
      <c r="W143" s="72">
        <v>11</v>
      </c>
      <c r="X143" s="72"/>
      <c r="Y143" s="72"/>
      <c r="Z143" s="109">
        <f t="shared" si="5"/>
        <v>57.899999999999984</v>
      </c>
      <c r="AA143" s="110"/>
      <c r="AB143" s="111"/>
      <c r="AC143" s="73">
        <f>vypocet!W57</f>
        <v>-0.46141071428571467</v>
      </c>
      <c r="AD143" s="74"/>
      <c r="AE143" s="76"/>
    </row>
    <row r="144" spans="2:31" x14ac:dyDescent="0.25">
      <c r="B144" s="61"/>
      <c r="C144" s="72">
        <v>12</v>
      </c>
      <c r="D144" s="72"/>
      <c r="E144" s="72"/>
      <c r="F144" s="65">
        <f t="shared" si="3"/>
        <v>10.800000000000002</v>
      </c>
      <c r="G144" s="66"/>
      <c r="H144" s="67"/>
      <c r="I144" s="73">
        <f>vypocet!W18</f>
        <v>-0.49371428571428577</v>
      </c>
      <c r="J144" s="74"/>
      <c r="K144" s="75"/>
      <c r="L144" s="86"/>
      <c r="M144" s="72">
        <v>12</v>
      </c>
      <c r="N144" s="72"/>
      <c r="O144" s="72"/>
      <c r="P144" s="109">
        <f t="shared" si="4"/>
        <v>36</v>
      </c>
      <c r="Q144" s="110"/>
      <c r="R144" s="111"/>
      <c r="S144" s="73">
        <f>vypocet!W38</f>
        <v>3.4285714285714279</v>
      </c>
      <c r="T144" s="74"/>
      <c r="U144" s="75"/>
      <c r="V144" s="86"/>
      <c r="W144" s="72">
        <v>12</v>
      </c>
      <c r="X144" s="72"/>
      <c r="Y144" s="72"/>
      <c r="Z144" s="109">
        <f t="shared" si="5"/>
        <v>58.799999999999983</v>
      </c>
      <c r="AA144" s="110"/>
      <c r="AB144" s="111"/>
      <c r="AC144" s="73">
        <f>vypocet!W58</f>
        <v>-0.43200000000000049</v>
      </c>
      <c r="AD144" s="74"/>
      <c r="AE144" s="76"/>
    </row>
    <row r="145" spans="2:31" x14ac:dyDescent="0.25">
      <c r="B145" s="61"/>
      <c r="C145" s="72">
        <v>13</v>
      </c>
      <c r="D145" s="72"/>
      <c r="E145" s="72"/>
      <c r="F145" s="65">
        <f t="shared" si="3"/>
        <v>11.700000000000003</v>
      </c>
      <c r="G145" s="66"/>
      <c r="H145" s="67"/>
      <c r="I145" s="73">
        <f>vypocet!W19</f>
        <v>-0.48262499999999997</v>
      </c>
      <c r="J145" s="74"/>
      <c r="K145" s="75"/>
      <c r="L145" s="86"/>
      <c r="M145" s="72">
        <v>13</v>
      </c>
      <c r="N145" s="72"/>
      <c r="O145" s="72"/>
      <c r="P145" s="109">
        <f t="shared" si="4"/>
        <v>37.5</v>
      </c>
      <c r="Q145" s="110"/>
      <c r="R145" s="111"/>
      <c r="S145" s="73">
        <f>vypocet!W39</f>
        <v>2.8124999999999996</v>
      </c>
      <c r="T145" s="74"/>
      <c r="U145" s="75"/>
      <c r="V145" s="86"/>
      <c r="W145" s="72">
        <v>13</v>
      </c>
      <c r="X145" s="72"/>
      <c r="Y145" s="72"/>
      <c r="Z145" s="109">
        <f t="shared" si="5"/>
        <v>59.699999999999982</v>
      </c>
      <c r="AA145" s="110"/>
      <c r="AB145" s="111"/>
      <c r="AC145" s="73">
        <f>vypocet!W59</f>
        <v>-0.39487500000000075</v>
      </c>
      <c r="AD145" s="74"/>
      <c r="AE145" s="76"/>
    </row>
    <row r="146" spans="2:31" x14ac:dyDescent="0.25">
      <c r="B146" s="61"/>
      <c r="C146" s="72">
        <v>14</v>
      </c>
      <c r="D146" s="72"/>
      <c r="E146" s="72"/>
      <c r="F146" s="65">
        <f t="shared" si="3"/>
        <v>12.600000000000003</v>
      </c>
      <c r="G146" s="66"/>
      <c r="H146" s="67"/>
      <c r="I146" s="73">
        <f>vypocet!W20</f>
        <v>-0.45899999999999985</v>
      </c>
      <c r="J146" s="74"/>
      <c r="K146" s="75"/>
      <c r="L146" s="86"/>
      <c r="M146" s="72">
        <v>14</v>
      </c>
      <c r="N146" s="72"/>
      <c r="O146" s="72"/>
      <c r="P146" s="109">
        <f t="shared" si="4"/>
        <v>39</v>
      </c>
      <c r="Q146" s="110"/>
      <c r="R146" s="111"/>
      <c r="S146" s="73">
        <f>vypocet!W40</f>
        <v>2.25</v>
      </c>
      <c r="T146" s="74"/>
      <c r="U146" s="75"/>
      <c r="V146" s="86"/>
      <c r="W146" s="72">
        <v>14</v>
      </c>
      <c r="X146" s="72"/>
      <c r="Y146" s="72"/>
      <c r="Z146" s="109">
        <f t="shared" si="5"/>
        <v>60.59999999999998</v>
      </c>
      <c r="AA146" s="110"/>
      <c r="AB146" s="111"/>
      <c r="AC146" s="73">
        <f>vypocet!W60</f>
        <v>-0.35100000000000114</v>
      </c>
      <c r="AD146" s="74"/>
      <c r="AE146" s="76"/>
    </row>
    <row r="147" spans="2:31" x14ac:dyDescent="0.25">
      <c r="B147" s="61"/>
      <c r="C147" s="72">
        <v>15</v>
      </c>
      <c r="D147" s="72"/>
      <c r="E147" s="72"/>
      <c r="F147" s="65">
        <f t="shared" si="3"/>
        <v>13.500000000000004</v>
      </c>
      <c r="G147" s="66"/>
      <c r="H147" s="67"/>
      <c r="I147" s="73">
        <f>vypocet!W21</f>
        <v>-0.42187499999999978</v>
      </c>
      <c r="J147" s="74"/>
      <c r="K147" s="75"/>
      <c r="L147" s="86"/>
      <c r="M147" s="72">
        <v>15</v>
      </c>
      <c r="N147" s="72"/>
      <c r="O147" s="72"/>
      <c r="P147" s="109">
        <f t="shared" si="4"/>
        <v>40.5</v>
      </c>
      <c r="Q147" s="110"/>
      <c r="R147" s="111"/>
      <c r="S147" s="73">
        <f>vypocet!W41</f>
        <v>1.7410714285714284</v>
      </c>
      <c r="T147" s="74"/>
      <c r="U147" s="75"/>
      <c r="V147" s="86"/>
      <c r="W147" s="72">
        <v>15</v>
      </c>
      <c r="X147" s="72"/>
      <c r="Y147" s="72"/>
      <c r="Z147" s="109">
        <f t="shared" si="5"/>
        <v>61.499999999999979</v>
      </c>
      <c r="AA147" s="110"/>
      <c r="AB147" s="111"/>
      <c r="AC147" s="73">
        <f>vypocet!W61</f>
        <v>-0.30133928571428703</v>
      </c>
      <c r="AD147" s="74"/>
      <c r="AE147" s="76"/>
    </row>
    <row r="148" spans="2:31" x14ac:dyDescent="0.25">
      <c r="B148" s="61"/>
      <c r="C148" s="72">
        <v>16</v>
      </c>
      <c r="D148" s="72"/>
      <c r="E148" s="72"/>
      <c r="F148" s="65">
        <f t="shared" si="3"/>
        <v>14.400000000000004</v>
      </c>
      <c r="G148" s="66"/>
      <c r="H148" s="67"/>
      <c r="I148" s="73">
        <f>vypocet!W22</f>
        <v>-0.370285714285714</v>
      </c>
      <c r="J148" s="74"/>
      <c r="K148" s="75"/>
      <c r="L148" s="86"/>
      <c r="M148" s="72">
        <v>16</v>
      </c>
      <c r="N148" s="72"/>
      <c r="O148" s="72"/>
      <c r="P148" s="109">
        <f t="shared" si="4"/>
        <v>42</v>
      </c>
      <c r="Q148" s="110"/>
      <c r="R148" s="111"/>
      <c r="S148" s="73">
        <f>vypocet!W42</f>
        <v>1.2857142857142856</v>
      </c>
      <c r="T148" s="74"/>
      <c r="U148" s="75"/>
      <c r="V148" s="86"/>
      <c r="W148" s="72">
        <v>16</v>
      </c>
      <c r="X148" s="72"/>
      <c r="Y148" s="72"/>
      <c r="Z148" s="109">
        <f t="shared" si="5"/>
        <v>62.399999999999977</v>
      </c>
      <c r="AA148" s="110"/>
      <c r="AB148" s="111"/>
      <c r="AC148" s="73">
        <f>vypocet!W62</f>
        <v>-0.24685714285714433</v>
      </c>
      <c r="AD148" s="74"/>
      <c r="AE148" s="76"/>
    </row>
    <row r="149" spans="2:31" x14ac:dyDescent="0.25">
      <c r="B149" s="61"/>
      <c r="C149" s="72">
        <v>17</v>
      </c>
      <c r="D149" s="72"/>
      <c r="E149" s="72"/>
      <c r="F149" s="65">
        <f t="shared" si="3"/>
        <v>15.300000000000004</v>
      </c>
      <c r="G149" s="66"/>
      <c r="H149" s="67"/>
      <c r="I149" s="73">
        <f>vypocet!W23</f>
        <v>-0.30326785714285681</v>
      </c>
      <c r="J149" s="74"/>
      <c r="K149" s="75"/>
      <c r="L149" s="86"/>
      <c r="M149" s="72">
        <v>17</v>
      </c>
      <c r="N149" s="72"/>
      <c r="O149" s="72"/>
      <c r="P149" s="109">
        <f t="shared" si="4"/>
        <v>43.5</v>
      </c>
      <c r="Q149" s="110"/>
      <c r="R149" s="111"/>
      <c r="S149" s="73">
        <f>vypocet!W43</f>
        <v>0.88392857142857129</v>
      </c>
      <c r="T149" s="74"/>
      <c r="U149" s="75"/>
      <c r="V149" s="86"/>
      <c r="W149" s="72">
        <v>17</v>
      </c>
      <c r="X149" s="72"/>
      <c r="Y149" s="72"/>
      <c r="Z149" s="109">
        <f t="shared" si="5"/>
        <v>63.299999999999976</v>
      </c>
      <c r="AA149" s="110"/>
      <c r="AB149" s="111"/>
      <c r="AC149" s="73">
        <f>vypocet!W63</f>
        <v>-0.18851785714285874</v>
      </c>
      <c r="AD149" s="74"/>
      <c r="AE149" s="76"/>
    </row>
    <row r="150" spans="2:31" x14ac:dyDescent="0.25">
      <c r="B150" s="61"/>
      <c r="C150" s="72">
        <v>18</v>
      </c>
      <c r="D150" s="72"/>
      <c r="E150" s="72"/>
      <c r="F150" s="65">
        <f t="shared" si="3"/>
        <v>16.200000000000003</v>
      </c>
      <c r="G150" s="66"/>
      <c r="H150" s="67"/>
      <c r="I150" s="73">
        <f>vypocet!W24</f>
        <v>-0.21985714285714261</v>
      </c>
      <c r="J150" s="74"/>
      <c r="K150" s="75"/>
      <c r="L150" s="86"/>
      <c r="M150" s="72">
        <v>18</v>
      </c>
      <c r="N150" s="72"/>
      <c r="O150" s="72"/>
      <c r="P150" s="109">
        <f t="shared" si="4"/>
        <v>45</v>
      </c>
      <c r="Q150" s="110"/>
      <c r="R150" s="111"/>
      <c r="S150" s="73">
        <f>vypocet!W44</f>
        <v>0.53571428571428559</v>
      </c>
      <c r="T150" s="74"/>
      <c r="U150" s="75"/>
      <c r="V150" s="86"/>
      <c r="W150" s="72">
        <v>18</v>
      </c>
      <c r="X150" s="72"/>
      <c r="Y150" s="72"/>
      <c r="Z150" s="109">
        <f t="shared" si="5"/>
        <v>64.199999999999974</v>
      </c>
      <c r="AA150" s="110"/>
      <c r="AB150" s="111"/>
      <c r="AC150" s="73">
        <f>vypocet!W64</f>
        <v>-0.12728571428571606</v>
      </c>
      <c r="AD150" s="74"/>
      <c r="AE150" s="76"/>
    </row>
    <row r="151" spans="2:31" x14ac:dyDescent="0.25">
      <c r="B151" s="61"/>
      <c r="C151" s="72">
        <v>19</v>
      </c>
      <c r="D151" s="72"/>
      <c r="E151" s="72"/>
      <c r="F151" s="65">
        <f t="shared" si="3"/>
        <v>17.100000000000001</v>
      </c>
      <c r="G151" s="66"/>
      <c r="H151" s="67"/>
      <c r="I151" s="73">
        <f>vypocet!W25</f>
        <v>-0.11908928571428556</v>
      </c>
      <c r="J151" s="74"/>
      <c r="K151" s="75"/>
      <c r="L151" s="86"/>
      <c r="M151" s="72">
        <v>19</v>
      </c>
      <c r="N151" s="72"/>
      <c r="O151" s="72"/>
      <c r="P151" s="109">
        <f t="shared" si="4"/>
        <v>46.5</v>
      </c>
      <c r="Q151" s="110"/>
      <c r="R151" s="111"/>
      <c r="S151" s="73">
        <f>vypocet!W45</f>
        <v>0.24107142857142871</v>
      </c>
      <c r="T151" s="74"/>
      <c r="U151" s="75"/>
      <c r="V151" s="86"/>
      <c r="W151" s="72">
        <v>19</v>
      </c>
      <c r="X151" s="72"/>
      <c r="Y151" s="72"/>
      <c r="Z151" s="109">
        <f t="shared" si="5"/>
        <v>65.09999999999998</v>
      </c>
      <c r="AA151" s="110"/>
      <c r="AB151" s="111"/>
      <c r="AC151" s="73">
        <f>vypocet!W65</f>
        <v>-6.4125000000001486E-2</v>
      </c>
      <c r="AD151" s="74"/>
      <c r="AE151" s="76"/>
    </row>
    <row r="152" spans="2:31" x14ac:dyDescent="0.25">
      <c r="B152" s="62"/>
      <c r="C152" s="77">
        <v>20</v>
      </c>
      <c r="D152" s="77"/>
      <c r="E152" s="77"/>
      <c r="F152" s="78">
        <f t="shared" si="3"/>
        <v>18</v>
      </c>
      <c r="G152" s="79"/>
      <c r="H152" s="80"/>
      <c r="I152" s="81">
        <f>vypocet!W26</f>
        <v>0</v>
      </c>
      <c r="J152" s="82"/>
      <c r="K152" s="83"/>
      <c r="L152" s="87"/>
      <c r="M152" s="77">
        <v>20</v>
      </c>
      <c r="N152" s="77"/>
      <c r="O152" s="77"/>
      <c r="P152" s="112">
        <f t="shared" si="4"/>
        <v>48</v>
      </c>
      <c r="Q152" s="113"/>
      <c r="R152" s="114"/>
      <c r="S152" s="81">
        <f>vypocet!W46</f>
        <v>0</v>
      </c>
      <c r="T152" s="82"/>
      <c r="U152" s="83"/>
      <c r="V152" s="87"/>
      <c r="W152" s="77">
        <v>20</v>
      </c>
      <c r="X152" s="77"/>
      <c r="Y152" s="77"/>
      <c r="Z152" s="112">
        <f t="shared" si="5"/>
        <v>65.999999999999986</v>
      </c>
      <c r="AA152" s="113"/>
      <c r="AB152" s="114"/>
      <c r="AC152" s="81">
        <f>vypocet!W66</f>
        <v>-9.9920072216264089E-16</v>
      </c>
      <c r="AD152" s="82"/>
      <c r="AE152" s="84"/>
    </row>
    <row r="153" spans="2:31" ht="16.2" thickBot="1" x14ac:dyDescent="0.3">
      <c r="B153" s="49" t="s">
        <v>69</v>
      </c>
      <c r="C153" s="50"/>
      <c r="D153" s="50"/>
      <c r="E153" s="50"/>
      <c r="F153" s="50"/>
      <c r="G153" s="50"/>
      <c r="H153" s="50"/>
      <c r="I153" s="51">
        <f>0.5*K16/20*(2*SUM(I132:K152)-I132-I152)</f>
        <v>-5.7712499999999993</v>
      </c>
      <c r="J153" s="52"/>
      <c r="K153" s="53"/>
      <c r="L153" s="108" t="s">
        <v>69</v>
      </c>
      <c r="M153" s="50"/>
      <c r="N153" s="50"/>
      <c r="O153" s="50"/>
      <c r="P153" s="50"/>
      <c r="Q153" s="50"/>
      <c r="R153" s="50"/>
      <c r="S153" s="54">
        <f>0.5*K14/20*(2*SUM(S132:U152)-S132-S152)</f>
        <v>59.062499999999986</v>
      </c>
      <c r="T153" s="55"/>
      <c r="U153" s="56"/>
      <c r="V153" s="108" t="s">
        <v>69</v>
      </c>
      <c r="W153" s="50"/>
      <c r="X153" s="50"/>
      <c r="Y153" s="50"/>
      <c r="Z153" s="50"/>
      <c r="AA153" s="50"/>
      <c r="AB153" s="50"/>
      <c r="AC153" s="54">
        <f>0.5*K16/20*(2*SUM(AC132:AE152)-AC132-AC152)</f>
        <v>-5.7712500000000082</v>
      </c>
      <c r="AD153" s="55"/>
      <c r="AE153" s="57"/>
    </row>
    <row r="154" spans="2:31" x14ac:dyDescent="0.25">
      <c r="B154" s="4"/>
      <c r="C154" s="9" t="s">
        <v>24</v>
      </c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6" spans="2:31" x14ac:dyDescent="0.25">
      <c r="E156" t="s">
        <v>51</v>
      </c>
      <c r="Q156" s="58">
        <v>12.8</v>
      </c>
      <c r="R156" s="58"/>
      <c r="S156" s="58"/>
      <c r="T156" t="s">
        <v>3</v>
      </c>
      <c r="W156" s="116">
        <f>IF(Q156&lt;=K16,-1/K14*(Q156/2*(1-Q156^2/K16^2)*vypocet!P3)+1/K14*(Q156/2*(1-Q156^2/K16^2))*vypocet!Q3,IF(Q156&lt;=(K16+K14),IF(Q156&lt;=(K16+K14/2),(Q156-K16)/2-0.5*((Q156-K16)*(K14-(Q156-K16))^2/K14^2)-1/K14*(-((Q156-K16)/K14)*(1-((Q156-K16)/K14))^2*K14*vypocet!P3+((Q156-K16)/K14)^2*(1-((Q156-K16)/K14))*K14*vypocet!P4)-0.5*((Q156-K16)^2*(K14-(Q156-K16))/K14^2)+1/K14*(-((Q156-K16)/K14)*(1-((Q156-K16)/K14))^2*K14*vypocet!Q3+(Q156-K16)^2/K14^2*(1-((Q156-K16)/K14))*K14*vypocet!Q4),(K14-Q156+K16)/2-0.5*((Q156-K16)*(K14-(Q156-K16))^2/K14^2)-1/K14*(-((Q156-K16)/K14)*(1-((Q156-K16)/K14))^2*K14*vypocet!P3+((Q156-K16)/K14)^2*(1-((Q156-K16)/K14))*K14*vypocet!P4)-0.5*((Q156-K16)^2*(K14-(Q156-K16))/K14^2)+1/K14*(-((Q156-K16)/K14)*(1-((Q156-K16)/K14))^2*K14*vypocet!Q3+(Q156-K16)^2/K14^2*(1-((Q156-K16)/K14))*K14*vypocet!Q4)),-1/K14*(-(Q156-K16-K14)+3*(Q156-K16-K14)^2/2/K16-(Q156-K16-K14)^3/2/K16^2)*vypocet!P4+1/K14*(-(Q156-K16-K14)+3*(Q156-K16-K14)^2/2/K16-(Q156-K16-K14)^3/2/K16^2)*vypocet!Q4))</f>
        <v>-0.45195061728395047</v>
      </c>
      <c r="X156" s="116"/>
      <c r="Y156" s="116"/>
      <c r="Z156" t="s">
        <v>18</v>
      </c>
    </row>
    <row r="157" spans="2:31" x14ac:dyDescent="0.25">
      <c r="W157" s="124"/>
      <c r="X157" s="124"/>
      <c r="Y157" s="124"/>
      <c r="Z157" s="124"/>
      <c r="AA157" s="124"/>
      <c r="AB157" s="124"/>
    </row>
    <row r="158" spans="2:31" x14ac:dyDescent="0.25">
      <c r="B158" s="10" t="s">
        <v>50</v>
      </c>
      <c r="W158" s="124"/>
      <c r="X158" s="124"/>
      <c r="Y158" s="124"/>
      <c r="Z158" s="124"/>
      <c r="AA158" s="124"/>
    </row>
    <row r="178" spans="2:31" ht="15" x14ac:dyDescent="0.25">
      <c r="B178" s="6" t="s">
        <v>54</v>
      </c>
      <c r="F178" t="s">
        <v>55</v>
      </c>
    </row>
    <row r="181" spans="2:31" x14ac:dyDescent="0.25">
      <c r="K181" s="1" t="s">
        <v>56</v>
      </c>
      <c r="L181" s="88">
        <v>0</v>
      </c>
      <c r="M181" s="88"/>
      <c r="N181" s="88"/>
      <c r="O181" s="5" t="s">
        <v>3</v>
      </c>
    </row>
    <row r="182" spans="2:31" ht="17.25" customHeight="1" x14ac:dyDescent="0.25">
      <c r="K182" s="1" t="s">
        <v>38</v>
      </c>
      <c r="L182" s="120">
        <v>1</v>
      </c>
      <c r="M182" s="120"/>
      <c r="N182" s="120"/>
      <c r="R182" s="1" t="s">
        <v>14</v>
      </c>
      <c r="S182" s="107">
        <f>L181</f>
        <v>0</v>
      </c>
      <c r="T182" s="107"/>
      <c r="U182" s="107"/>
      <c r="V182" s="5" t="s">
        <v>3</v>
      </c>
    </row>
    <row r="183" spans="2:31" x14ac:dyDescent="0.25">
      <c r="K183" s="1" t="s">
        <v>39</v>
      </c>
      <c r="L183" s="120">
        <f>3/K16^2*((-vypocet!F6+2*vypocet!F6^2/K14-vypocet!F6^3/K14^2)*vypocet!P3+(vypocet!F6^2/K14-vypocet!F6^3/K14^2)*vypocet!P4)</f>
        <v>-0.16171082966291586</v>
      </c>
      <c r="M183" s="120"/>
      <c r="N183" s="120"/>
      <c r="R183" s="1" t="s">
        <v>14</v>
      </c>
      <c r="S183" s="107">
        <f>S25</f>
        <v>29.163781754467934</v>
      </c>
      <c r="T183" s="107"/>
      <c r="U183" s="107"/>
      <c r="V183" s="5" t="s">
        <v>3</v>
      </c>
    </row>
    <row r="184" spans="2:31" ht="27" customHeight="1" thickBot="1" x14ac:dyDescent="0.4">
      <c r="B184" s="5" t="s">
        <v>25</v>
      </c>
    </row>
    <row r="185" spans="2:31" x14ac:dyDescent="0.25">
      <c r="B185" s="91" t="s">
        <v>16</v>
      </c>
      <c r="C185" s="92"/>
      <c r="D185" s="92"/>
      <c r="E185" s="93"/>
      <c r="F185" s="97" t="s">
        <v>17</v>
      </c>
      <c r="G185" s="92"/>
      <c r="H185" s="93"/>
      <c r="I185" s="121" t="s">
        <v>57</v>
      </c>
      <c r="J185" s="92"/>
      <c r="K185" s="122"/>
      <c r="L185" s="100" t="s">
        <v>16</v>
      </c>
      <c r="M185" s="92"/>
      <c r="N185" s="92"/>
      <c r="O185" s="93"/>
      <c r="P185" s="97" t="s">
        <v>17</v>
      </c>
      <c r="Q185" s="92"/>
      <c r="R185" s="93"/>
      <c r="S185" s="98" t="s">
        <v>57</v>
      </c>
      <c r="T185" s="92"/>
      <c r="U185" s="92"/>
      <c r="V185" s="100" t="s">
        <v>16</v>
      </c>
      <c r="W185" s="92"/>
      <c r="X185" s="92"/>
      <c r="Y185" s="93"/>
      <c r="Z185" s="97" t="s">
        <v>17</v>
      </c>
      <c r="AA185" s="92"/>
      <c r="AB185" s="93"/>
      <c r="AC185" s="98" t="s">
        <v>57</v>
      </c>
      <c r="AD185" s="92"/>
      <c r="AE185" s="99"/>
    </row>
    <row r="186" spans="2:31" ht="13.8" thickBot="1" x14ac:dyDescent="0.3">
      <c r="B186" s="94"/>
      <c r="C186" s="95"/>
      <c r="D186" s="95"/>
      <c r="E186" s="96"/>
      <c r="F186" s="102" t="s">
        <v>18</v>
      </c>
      <c r="G186" s="95"/>
      <c r="H186" s="96"/>
      <c r="I186" s="102" t="s">
        <v>58</v>
      </c>
      <c r="J186" s="95"/>
      <c r="K186" s="103"/>
      <c r="L186" s="101"/>
      <c r="M186" s="95"/>
      <c r="N186" s="95"/>
      <c r="O186" s="96"/>
      <c r="P186" s="102" t="s">
        <v>18</v>
      </c>
      <c r="Q186" s="95"/>
      <c r="R186" s="96"/>
      <c r="S186" s="95" t="s">
        <v>58</v>
      </c>
      <c r="T186" s="95"/>
      <c r="U186" s="95"/>
      <c r="V186" s="101"/>
      <c r="W186" s="95"/>
      <c r="X186" s="95"/>
      <c r="Y186" s="96"/>
      <c r="Z186" s="102" t="s">
        <v>18</v>
      </c>
      <c r="AA186" s="95"/>
      <c r="AB186" s="96"/>
      <c r="AC186" s="95" t="s">
        <v>58</v>
      </c>
      <c r="AD186" s="95"/>
      <c r="AE186" s="104"/>
    </row>
    <row r="187" spans="2:31" ht="13.8" thickTop="1" x14ac:dyDescent="0.25">
      <c r="B187" s="60" t="s">
        <v>19</v>
      </c>
      <c r="C187" s="63">
        <v>0</v>
      </c>
      <c r="D187" s="63"/>
      <c r="E187" s="64"/>
      <c r="F187" s="65">
        <f>F132</f>
        <v>0</v>
      </c>
      <c r="G187" s="66"/>
      <c r="H187" s="67"/>
      <c r="I187" s="68">
        <f>vypocet!AH6</f>
        <v>1</v>
      </c>
      <c r="J187" s="69"/>
      <c r="K187" s="70"/>
      <c r="L187" s="85" t="s">
        <v>20</v>
      </c>
      <c r="M187" s="63">
        <v>0</v>
      </c>
      <c r="N187" s="63"/>
      <c r="O187" s="64"/>
      <c r="P187" s="65">
        <f>P132</f>
        <v>18</v>
      </c>
      <c r="Q187" s="66"/>
      <c r="R187" s="67"/>
      <c r="S187" s="68">
        <f>vypocet!AH26</f>
        <v>0</v>
      </c>
      <c r="T187" s="69"/>
      <c r="U187" s="70"/>
      <c r="V187" s="85" t="s">
        <v>22</v>
      </c>
      <c r="W187" s="63">
        <v>0</v>
      </c>
      <c r="X187" s="63"/>
      <c r="Y187" s="64"/>
      <c r="Z187" s="65">
        <f>Z132</f>
        <v>48</v>
      </c>
      <c r="AA187" s="66"/>
      <c r="AB187" s="67"/>
      <c r="AC187" s="68">
        <f>vypocet!AH46</f>
        <v>0</v>
      </c>
      <c r="AD187" s="69"/>
      <c r="AE187" s="71"/>
    </row>
    <row r="188" spans="2:31" x14ac:dyDescent="0.25">
      <c r="B188" s="61"/>
      <c r="C188" s="72">
        <v>1</v>
      </c>
      <c r="D188" s="72"/>
      <c r="E188" s="72"/>
      <c r="F188" s="65">
        <f>F133</f>
        <v>0.9</v>
      </c>
      <c r="G188" s="66"/>
      <c r="H188" s="67"/>
      <c r="I188" s="73">
        <f>vypocet!AH7</f>
        <v>0.93963636363636349</v>
      </c>
      <c r="J188" s="74"/>
      <c r="K188" s="75"/>
      <c r="L188" s="86"/>
      <c r="M188" s="72">
        <v>1</v>
      </c>
      <c r="N188" s="72"/>
      <c r="O188" s="72"/>
      <c r="P188" s="65">
        <f>P133</f>
        <v>19.5</v>
      </c>
      <c r="Q188" s="66"/>
      <c r="R188" s="67"/>
      <c r="S188" s="73">
        <f>vypocet!AH27</f>
        <v>-4.4466991341991349E-2</v>
      </c>
      <c r="T188" s="74"/>
      <c r="U188" s="75"/>
      <c r="V188" s="86"/>
      <c r="W188" s="72">
        <v>1</v>
      </c>
      <c r="X188" s="72"/>
      <c r="Y188" s="72"/>
      <c r="Z188" s="65">
        <f>Z133</f>
        <v>48.9</v>
      </c>
      <c r="AA188" s="66"/>
      <c r="AB188" s="67"/>
      <c r="AC188" s="73">
        <f>vypocet!AH47</f>
        <v>6.0146103896103788E-3</v>
      </c>
      <c r="AD188" s="74"/>
      <c r="AE188" s="76"/>
    </row>
    <row r="189" spans="2:31" x14ac:dyDescent="0.25">
      <c r="B189" s="61"/>
      <c r="C189" s="72">
        <v>2</v>
      </c>
      <c r="D189" s="72"/>
      <c r="E189" s="72"/>
      <c r="F189" s="65">
        <f t="shared" ref="F189:F207" si="6">F134</f>
        <v>1.8</v>
      </c>
      <c r="G189" s="66"/>
      <c r="H189" s="67"/>
      <c r="I189" s="73">
        <f>vypocet!AH8</f>
        <v>0.87942857142857134</v>
      </c>
      <c r="J189" s="74"/>
      <c r="K189" s="75"/>
      <c r="L189" s="86"/>
      <c r="M189" s="72">
        <v>2</v>
      </c>
      <c r="N189" s="72"/>
      <c r="O189" s="72"/>
      <c r="P189" s="65">
        <f t="shared" ref="P189:P207" si="7">P134</f>
        <v>21</v>
      </c>
      <c r="Q189" s="66"/>
      <c r="R189" s="67"/>
      <c r="S189" s="73">
        <f>vypocet!AH28</f>
        <v>-8.0844155844155871E-2</v>
      </c>
      <c r="T189" s="74"/>
      <c r="U189" s="75"/>
      <c r="V189" s="86"/>
      <c r="W189" s="72">
        <v>2</v>
      </c>
      <c r="X189" s="72"/>
      <c r="Y189" s="72"/>
      <c r="Z189" s="65">
        <f t="shared" ref="Z189:Z207" si="8">Z134</f>
        <v>49.8</v>
      </c>
      <c r="AA189" s="66"/>
      <c r="AB189" s="67"/>
      <c r="AC189" s="73">
        <f>vypocet!AH48</f>
        <v>1.1103896103896088E-2</v>
      </c>
      <c r="AD189" s="74"/>
      <c r="AE189" s="76"/>
    </row>
    <row r="190" spans="2:31" x14ac:dyDescent="0.25">
      <c r="B190" s="61"/>
      <c r="C190" s="72">
        <v>3</v>
      </c>
      <c r="D190" s="72"/>
      <c r="E190" s="72"/>
      <c r="F190" s="65">
        <f t="shared" si="6"/>
        <v>2.7</v>
      </c>
      <c r="G190" s="66"/>
      <c r="H190" s="67"/>
      <c r="I190" s="73">
        <f>vypocet!AH9</f>
        <v>0.81953246753246733</v>
      </c>
      <c r="J190" s="74"/>
      <c r="K190" s="75"/>
      <c r="L190" s="86"/>
      <c r="M190" s="72">
        <v>3</v>
      </c>
      <c r="N190" s="72"/>
      <c r="O190" s="72"/>
      <c r="P190" s="65">
        <f t="shared" si="7"/>
        <v>22.5</v>
      </c>
      <c r="Q190" s="66"/>
      <c r="R190" s="67"/>
      <c r="S190" s="73">
        <f>vypocet!AH29</f>
        <v>-0.10969967532467531</v>
      </c>
      <c r="T190" s="74"/>
      <c r="U190" s="75"/>
      <c r="V190" s="86"/>
      <c r="W190" s="72">
        <v>3</v>
      </c>
      <c r="X190" s="72"/>
      <c r="Y190" s="72"/>
      <c r="Z190" s="65">
        <f t="shared" si="8"/>
        <v>50.699999999999996</v>
      </c>
      <c r="AA190" s="66"/>
      <c r="AB190" s="67"/>
      <c r="AC190" s="73">
        <f>vypocet!AH49</f>
        <v>1.5316558441558424E-2</v>
      </c>
      <c r="AD190" s="74"/>
      <c r="AE190" s="76"/>
    </row>
    <row r="191" spans="2:31" x14ac:dyDescent="0.25">
      <c r="B191" s="61"/>
      <c r="C191" s="72">
        <v>4</v>
      </c>
      <c r="D191" s="72"/>
      <c r="E191" s="72"/>
      <c r="F191" s="65">
        <f t="shared" si="6"/>
        <v>3.6</v>
      </c>
      <c r="G191" s="66"/>
      <c r="H191" s="67"/>
      <c r="I191" s="73">
        <f>vypocet!AH10</f>
        <v>0.76010389610389595</v>
      </c>
      <c r="J191" s="74"/>
      <c r="K191" s="75"/>
      <c r="L191" s="86"/>
      <c r="M191" s="72">
        <v>4</v>
      </c>
      <c r="N191" s="72"/>
      <c r="O191" s="72"/>
      <c r="P191" s="65">
        <f t="shared" si="7"/>
        <v>24</v>
      </c>
      <c r="Q191" s="66"/>
      <c r="R191" s="67"/>
      <c r="S191" s="73">
        <f>vypocet!AH30</f>
        <v>-0.13160173160173164</v>
      </c>
      <c r="T191" s="74"/>
      <c r="U191" s="75"/>
      <c r="V191" s="86"/>
      <c r="W191" s="72">
        <v>4</v>
      </c>
      <c r="X191" s="72"/>
      <c r="Y191" s="72"/>
      <c r="Z191" s="65">
        <f t="shared" si="8"/>
        <v>51.599999999999994</v>
      </c>
      <c r="AA191" s="66"/>
      <c r="AB191" s="67"/>
      <c r="AC191" s="73">
        <f>vypocet!AH50</f>
        <v>1.8701298701298677E-2</v>
      </c>
      <c r="AD191" s="74"/>
      <c r="AE191" s="76"/>
    </row>
    <row r="192" spans="2:31" x14ac:dyDescent="0.25">
      <c r="B192" s="61"/>
      <c r="C192" s="72">
        <v>5</v>
      </c>
      <c r="D192" s="72"/>
      <c r="E192" s="72"/>
      <c r="F192" s="65">
        <f t="shared" si="6"/>
        <v>4.5</v>
      </c>
      <c r="G192" s="66"/>
      <c r="H192" s="67"/>
      <c r="I192" s="73">
        <f>vypocet!AH11</f>
        <v>0.70129870129870109</v>
      </c>
      <c r="J192" s="74"/>
      <c r="K192" s="75"/>
      <c r="L192" s="86"/>
      <c r="M192" s="72">
        <v>5</v>
      </c>
      <c r="N192" s="72"/>
      <c r="O192" s="72"/>
      <c r="P192" s="65">
        <f t="shared" si="7"/>
        <v>25.5</v>
      </c>
      <c r="Q192" s="66"/>
      <c r="R192" s="67"/>
      <c r="S192" s="73">
        <f>vypocet!AH31</f>
        <v>-0.1471185064935065</v>
      </c>
      <c r="T192" s="74"/>
      <c r="U192" s="75"/>
      <c r="V192" s="86"/>
      <c r="W192" s="72">
        <v>5</v>
      </c>
      <c r="X192" s="72"/>
      <c r="Y192" s="72"/>
      <c r="Z192" s="65">
        <f t="shared" si="8"/>
        <v>52.499999999999993</v>
      </c>
      <c r="AA192" s="66"/>
      <c r="AB192" s="67"/>
      <c r="AC192" s="73">
        <f>vypocet!AH51</f>
        <v>2.1306818181818166E-2</v>
      </c>
      <c r="AD192" s="74"/>
      <c r="AE192" s="76"/>
    </row>
    <row r="193" spans="2:31" x14ac:dyDescent="0.25">
      <c r="B193" s="61"/>
      <c r="C193" s="72">
        <v>6</v>
      </c>
      <c r="D193" s="72"/>
      <c r="E193" s="72"/>
      <c r="F193" s="65">
        <f t="shared" si="6"/>
        <v>5.4</v>
      </c>
      <c r="G193" s="66"/>
      <c r="H193" s="67"/>
      <c r="I193" s="73">
        <f>vypocet!AH12</f>
        <v>0.64327272727272711</v>
      </c>
      <c r="J193" s="74"/>
      <c r="K193" s="75"/>
      <c r="L193" s="86"/>
      <c r="M193" s="72">
        <v>6</v>
      </c>
      <c r="N193" s="72"/>
      <c r="O193" s="72"/>
      <c r="P193" s="65">
        <f t="shared" si="7"/>
        <v>27</v>
      </c>
      <c r="Q193" s="66"/>
      <c r="R193" s="67"/>
      <c r="S193" s="73">
        <f>vypocet!AH32</f>
        <v>-0.1568181818181818</v>
      </c>
      <c r="T193" s="74"/>
      <c r="U193" s="75"/>
      <c r="V193" s="86"/>
      <c r="W193" s="72">
        <v>6</v>
      </c>
      <c r="X193" s="72"/>
      <c r="Y193" s="72"/>
      <c r="Z193" s="65">
        <f t="shared" si="8"/>
        <v>53.399999999999991</v>
      </c>
      <c r="AA193" s="66"/>
      <c r="AB193" s="67"/>
      <c r="AC193" s="73">
        <f>vypocet!AH52</f>
        <v>2.3181818181818161E-2</v>
      </c>
      <c r="AD193" s="74"/>
      <c r="AE193" s="76"/>
    </row>
    <row r="194" spans="2:31" x14ac:dyDescent="0.25">
      <c r="B194" s="61"/>
      <c r="C194" s="72">
        <v>7</v>
      </c>
      <c r="D194" s="72"/>
      <c r="E194" s="72"/>
      <c r="F194" s="65">
        <f t="shared" si="6"/>
        <v>6.3000000000000007</v>
      </c>
      <c r="G194" s="66"/>
      <c r="H194" s="67"/>
      <c r="I194" s="73">
        <f>vypocet!AH13</f>
        <v>0.5861818181818178</v>
      </c>
      <c r="J194" s="74"/>
      <c r="K194" s="75"/>
      <c r="L194" s="86"/>
      <c r="M194" s="72">
        <v>7</v>
      </c>
      <c r="N194" s="72"/>
      <c r="O194" s="72"/>
      <c r="P194" s="65">
        <f t="shared" si="7"/>
        <v>28.5</v>
      </c>
      <c r="Q194" s="66"/>
      <c r="R194" s="67"/>
      <c r="S194" s="73">
        <f>vypocet!AH33</f>
        <v>-0.16126893939393938</v>
      </c>
      <c r="T194" s="74"/>
      <c r="U194" s="75"/>
      <c r="V194" s="86"/>
      <c r="W194" s="72">
        <v>7</v>
      </c>
      <c r="X194" s="72"/>
      <c r="Y194" s="72"/>
      <c r="Z194" s="65">
        <f t="shared" si="8"/>
        <v>54.29999999999999</v>
      </c>
      <c r="AA194" s="66"/>
      <c r="AB194" s="67"/>
      <c r="AC194" s="73">
        <f>vypocet!AH53</f>
        <v>2.4374999999999994E-2</v>
      </c>
      <c r="AD194" s="74"/>
      <c r="AE194" s="76"/>
    </row>
    <row r="195" spans="2:31" x14ac:dyDescent="0.25">
      <c r="B195" s="61"/>
      <c r="C195" s="72">
        <v>8</v>
      </c>
      <c r="D195" s="72"/>
      <c r="E195" s="72"/>
      <c r="F195" s="65">
        <f t="shared" si="6"/>
        <v>7.2000000000000011</v>
      </c>
      <c r="G195" s="66"/>
      <c r="H195" s="67"/>
      <c r="I195" s="73">
        <f>vypocet!AH14</f>
        <v>0.53018181818181775</v>
      </c>
      <c r="J195" s="74"/>
      <c r="K195" s="75"/>
      <c r="L195" s="86"/>
      <c r="M195" s="72">
        <v>8</v>
      </c>
      <c r="N195" s="72"/>
      <c r="O195" s="72"/>
      <c r="P195" s="65">
        <f t="shared" si="7"/>
        <v>30</v>
      </c>
      <c r="Q195" s="66"/>
      <c r="R195" s="67"/>
      <c r="S195" s="73">
        <f>vypocet!AH34</f>
        <v>-0.16103896103896104</v>
      </c>
      <c r="T195" s="74"/>
      <c r="U195" s="75"/>
      <c r="V195" s="86"/>
      <c r="W195" s="72">
        <v>8</v>
      </c>
      <c r="X195" s="72"/>
      <c r="Y195" s="72"/>
      <c r="Z195" s="65">
        <f t="shared" si="8"/>
        <v>55.199999999999989</v>
      </c>
      <c r="AA195" s="66"/>
      <c r="AB195" s="67"/>
      <c r="AC195" s="73">
        <f>vypocet!AH54</f>
        <v>2.4935064935064928E-2</v>
      </c>
      <c r="AD195" s="74"/>
      <c r="AE195" s="76"/>
    </row>
    <row r="196" spans="2:31" x14ac:dyDescent="0.25">
      <c r="B196" s="61"/>
      <c r="C196" s="72">
        <v>9</v>
      </c>
      <c r="D196" s="72"/>
      <c r="E196" s="72"/>
      <c r="F196" s="65">
        <f t="shared" si="6"/>
        <v>8.1000000000000014</v>
      </c>
      <c r="G196" s="66"/>
      <c r="H196" s="67"/>
      <c r="I196" s="73">
        <f>vypocet!AH15</f>
        <v>0.47542857142857103</v>
      </c>
      <c r="J196" s="74"/>
      <c r="K196" s="75"/>
      <c r="L196" s="86"/>
      <c r="M196" s="72">
        <v>9</v>
      </c>
      <c r="N196" s="72"/>
      <c r="O196" s="72"/>
      <c r="P196" s="65">
        <f t="shared" si="7"/>
        <v>31.5</v>
      </c>
      <c r="Q196" s="66"/>
      <c r="R196" s="67"/>
      <c r="S196" s="73">
        <f>vypocet!AH35</f>
        <v>-0.15669642857142863</v>
      </c>
      <c r="T196" s="74"/>
      <c r="U196" s="75"/>
      <c r="V196" s="86"/>
      <c r="W196" s="72">
        <v>9</v>
      </c>
      <c r="X196" s="72"/>
      <c r="Y196" s="72"/>
      <c r="Z196" s="65">
        <f t="shared" si="8"/>
        <v>56.099999999999987</v>
      </c>
      <c r="AA196" s="66"/>
      <c r="AB196" s="67"/>
      <c r="AC196" s="73">
        <f>vypocet!AH55</f>
        <v>2.4910714285714293E-2</v>
      </c>
      <c r="AD196" s="74"/>
      <c r="AE196" s="76"/>
    </row>
    <row r="197" spans="2:31" x14ac:dyDescent="0.25">
      <c r="B197" s="61"/>
      <c r="C197" s="72">
        <v>10</v>
      </c>
      <c r="D197" s="72"/>
      <c r="E197" s="72"/>
      <c r="F197" s="65">
        <f t="shared" si="6"/>
        <v>9.0000000000000018</v>
      </c>
      <c r="G197" s="66"/>
      <c r="H197" s="67"/>
      <c r="I197" s="73">
        <f>vypocet!AH16</f>
        <v>0.42207792207792172</v>
      </c>
      <c r="J197" s="74"/>
      <c r="K197" s="75"/>
      <c r="L197" s="86"/>
      <c r="M197" s="72">
        <v>10</v>
      </c>
      <c r="N197" s="72"/>
      <c r="O197" s="72"/>
      <c r="P197" s="65">
        <f t="shared" si="7"/>
        <v>33</v>
      </c>
      <c r="Q197" s="66"/>
      <c r="R197" s="67"/>
      <c r="S197" s="73">
        <f>vypocet!AH36</f>
        <v>-0.14880952380952384</v>
      </c>
      <c r="T197" s="74"/>
      <c r="U197" s="75"/>
      <c r="V197" s="86"/>
      <c r="W197" s="72">
        <v>10</v>
      </c>
      <c r="X197" s="72"/>
      <c r="Y197" s="72"/>
      <c r="Z197" s="65">
        <f t="shared" si="8"/>
        <v>56.999999999999986</v>
      </c>
      <c r="AA197" s="66"/>
      <c r="AB197" s="67"/>
      <c r="AC197" s="73">
        <f>vypocet!AH56</f>
        <v>2.4350649350649359E-2</v>
      </c>
      <c r="AD197" s="74"/>
      <c r="AE197" s="76"/>
    </row>
    <row r="198" spans="2:31" x14ac:dyDescent="0.25">
      <c r="B198" s="61"/>
      <c r="C198" s="72">
        <v>11</v>
      </c>
      <c r="D198" s="72"/>
      <c r="E198" s="72"/>
      <c r="F198" s="65">
        <f t="shared" si="6"/>
        <v>9.9000000000000021</v>
      </c>
      <c r="G198" s="66"/>
      <c r="H198" s="67"/>
      <c r="I198" s="73">
        <f>vypocet!AH17</f>
        <v>0.37028571428571389</v>
      </c>
      <c r="J198" s="74"/>
      <c r="K198" s="75"/>
      <c r="L198" s="86"/>
      <c r="M198" s="72">
        <v>11</v>
      </c>
      <c r="N198" s="72"/>
      <c r="O198" s="72"/>
      <c r="P198" s="65">
        <f t="shared" si="7"/>
        <v>34.5</v>
      </c>
      <c r="Q198" s="66"/>
      <c r="R198" s="67"/>
      <c r="S198" s="73">
        <f>vypocet!AH37</f>
        <v>-0.13794642857142858</v>
      </c>
      <c r="T198" s="74"/>
      <c r="U198" s="75"/>
      <c r="V198" s="86"/>
      <c r="W198" s="72">
        <v>11</v>
      </c>
      <c r="X198" s="72"/>
      <c r="Y198" s="72"/>
      <c r="Z198" s="65">
        <f t="shared" si="8"/>
        <v>57.899999999999984</v>
      </c>
      <c r="AA198" s="66"/>
      <c r="AB198" s="67"/>
      <c r="AC198" s="73">
        <f>vypocet!AH57</f>
        <v>2.3303571428571448E-2</v>
      </c>
      <c r="AD198" s="74"/>
      <c r="AE198" s="76"/>
    </row>
    <row r="199" spans="2:31" x14ac:dyDescent="0.25">
      <c r="B199" s="61"/>
      <c r="C199" s="72">
        <v>12</v>
      </c>
      <c r="D199" s="72"/>
      <c r="E199" s="72"/>
      <c r="F199" s="65">
        <f t="shared" si="6"/>
        <v>10.800000000000002</v>
      </c>
      <c r="G199" s="66"/>
      <c r="H199" s="67"/>
      <c r="I199" s="73">
        <f>vypocet!AH18</f>
        <v>0.32020779220779183</v>
      </c>
      <c r="J199" s="74"/>
      <c r="K199" s="75"/>
      <c r="L199" s="86"/>
      <c r="M199" s="72">
        <v>12</v>
      </c>
      <c r="N199" s="72"/>
      <c r="O199" s="72"/>
      <c r="P199" s="65">
        <f t="shared" si="7"/>
        <v>36</v>
      </c>
      <c r="Q199" s="66"/>
      <c r="R199" s="67"/>
      <c r="S199" s="73">
        <f>vypocet!AH38</f>
        <v>-0.12467532467532469</v>
      </c>
      <c r="T199" s="74"/>
      <c r="U199" s="75"/>
      <c r="V199" s="86"/>
      <c r="W199" s="72">
        <v>12</v>
      </c>
      <c r="X199" s="72"/>
      <c r="Y199" s="72"/>
      <c r="Z199" s="65">
        <f t="shared" si="8"/>
        <v>58.799999999999983</v>
      </c>
      <c r="AA199" s="66"/>
      <c r="AB199" s="67"/>
      <c r="AC199" s="73">
        <f>vypocet!AH58</f>
        <v>2.1818181818181844E-2</v>
      </c>
      <c r="AD199" s="74"/>
      <c r="AE199" s="76"/>
    </row>
    <row r="200" spans="2:31" x14ac:dyDescent="0.25">
      <c r="B200" s="61"/>
      <c r="C200" s="72">
        <v>13</v>
      </c>
      <c r="D200" s="72"/>
      <c r="E200" s="72"/>
      <c r="F200" s="65">
        <f t="shared" si="6"/>
        <v>11.700000000000003</v>
      </c>
      <c r="G200" s="66"/>
      <c r="H200" s="67"/>
      <c r="I200" s="73">
        <f>vypocet!AH19</f>
        <v>0.27199999999999969</v>
      </c>
      <c r="J200" s="74"/>
      <c r="K200" s="75"/>
      <c r="L200" s="86"/>
      <c r="M200" s="72">
        <v>13</v>
      </c>
      <c r="N200" s="72"/>
      <c r="O200" s="72"/>
      <c r="P200" s="65">
        <f t="shared" si="7"/>
        <v>37.5</v>
      </c>
      <c r="Q200" s="66"/>
      <c r="R200" s="67"/>
      <c r="S200" s="73">
        <f>vypocet!AH39</f>
        <v>-0.10956439393939393</v>
      </c>
      <c r="T200" s="74"/>
      <c r="U200" s="75"/>
      <c r="V200" s="86"/>
      <c r="W200" s="72">
        <v>13</v>
      </c>
      <c r="X200" s="72"/>
      <c r="Y200" s="72"/>
      <c r="Z200" s="65">
        <f t="shared" si="8"/>
        <v>59.699999999999982</v>
      </c>
      <c r="AA200" s="66"/>
      <c r="AB200" s="67"/>
      <c r="AC200" s="73">
        <f>vypocet!AH59</f>
        <v>1.9943181818181853E-2</v>
      </c>
      <c r="AD200" s="74"/>
      <c r="AE200" s="76"/>
    </row>
    <row r="201" spans="2:31" x14ac:dyDescent="0.25">
      <c r="B201" s="61"/>
      <c r="C201" s="72">
        <v>14</v>
      </c>
      <c r="D201" s="72"/>
      <c r="E201" s="72"/>
      <c r="F201" s="65">
        <f t="shared" si="6"/>
        <v>12.600000000000003</v>
      </c>
      <c r="G201" s="66"/>
      <c r="H201" s="67"/>
      <c r="I201" s="73">
        <f>vypocet!AH20</f>
        <v>0.22581818181818147</v>
      </c>
      <c r="J201" s="74"/>
      <c r="K201" s="75"/>
      <c r="L201" s="86"/>
      <c r="M201" s="72">
        <v>14</v>
      </c>
      <c r="N201" s="72"/>
      <c r="O201" s="72"/>
      <c r="P201" s="65">
        <f t="shared" si="7"/>
        <v>39</v>
      </c>
      <c r="Q201" s="66"/>
      <c r="R201" s="67"/>
      <c r="S201" s="73">
        <f>vypocet!AH40</f>
        <v>-9.3181818181818199E-2</v>
      </c>
      <c r="T201" s="74"/>
      <c r="U201" s="75"/>
      <c r="V201" s="86"/>
      <c r="W201" s="72">
        <v>14</v>
      </c>
      <c r="X201" s="72"/>
      <c r="Y201" s="72"/>
      <c r="Z201" s="65">
        <f t="shared" si="8"/>
        <v>60.59999999999998</v>
      </c>
      <c r="AA201" s="66"/>
      <c r="AB201" s="67"/>
      <c r="AC201" s="73">
        <f>vypocet!AH60</f>
        <v>1.7727272727272782E-2</v>
      </c>
      <c r="AD201" s="74"/>
      <c r="AE201" s="76"/>
    </row>
    <row r="202" spans="2:31" x14ac:dyDescent="0.25">
      <c r="B202" s="61"/>
      <c r="C202" s="72">
        <v>15</v>
      </c>
      <c r="D202" s="72"/>
      <c r="E202" s="72"/>
      <c r="F202" s="65">
        <f t="shared" si="6"/>
        <v>13.500000000000004</v>
      </c>
      <c r="G202" s="66"/>
      <c r="H202" s="67"/>
      <c r="I202" s="73">
        <f>vypocet!AH21</f>
        <v>0.18181818181818149</v>
      </c>
      <c r="J202" s="74"/>
      <c r="K202" s="75"/>
      <c r="L202" s="86"/>
      <c r="M202" s="72">
        <v>15</v>
      </c>
      <c r="N202" s="72"/>
      <c r="O202" s="72"/>
      <c r="P202" s="65">
        <f t="shared" si="7"/>
        <v>40.5</v>
      </c>
      <c r="Q202" s="66"/>
      <c r="R202" s="67"/>
      <c r="S202" s="73">
        <f>vypocet!AH41</f>
        <v>-7.6095779220779203E-2</v>
      </c>
      <c r="T202" s="74"/>
      <c r="U202" s="75"/>
      <c r="V202" s="86"/>
      <c r="W202" s="72">
        <v>15</v>
      </c>
      <c r="X202" s="72"/>
      <c r="Y202" s="72"/>
      <c r="Z202" s="65">
        <f t="shared" si="8"/>
        <v>61.499999999999979</v>
      </c>
      <c r="AA202" s="66"/>
      <c r="AB202" s="67"/>
      <c r="AC202" s="73">
        <f>vypocet!AH61</f>
        <v>1.5219155844155908E-2</v>
      </c>
      <c r="AD202" s="74"/>
      <c r="AE202" s="76"/>
    </row>
    <row r="203" spans="2:31" x14ac:dyDescent="0.25">
      <c r="B203" s="61"/>
      <c r="C203" s="72">
        <v>16</v>
      </c>
      <c r="D203" s="72"/>
      <c r="E203" s="72"/>
      <c r="F203" s="65">
        <f t="shared" si="6"/>
        <v>14.400000000000004</v>
      </c>
      <c r="G203" s="66"/>
      <c r="H203" s="67"/>
      <c r="I203" s="73">
        <f>vypocet!AH22</f>
        <v>0.14015584415584381</v>
      </c>
      <c r="J203" s="74"/>
      <c r="K203" s="75"/>
      <c r="L203" s="86"/>
      <c r="M203" s="72">
        <v>16</v>
      </c>
      <c r="N203" s="72"/>
      <c r="O203" s="72"/>
      <c r="P203" s="65">
        <f t="shared" si="7"/>
        <v>42</v>
      </c>
      <c r="Q203" s="66"/>
      <c r="R203" s="67"/>
      <c r="S203" s="73">
        <f>vypocet!AH42</f>
        <v>-5.8874458874458871E-2</v>
      </c>
      <c r="T203" s="74"/>
      <c r="U203" s="75"/>
      <c r="V203" s="86"/>
      <c r="W203" s="72">
        <v>16</v>
      </c>
      <c r="X203" s="72"/>
      <c r="Y203" s="72"/>
      <c r="Z203" s="65">
        <f t="shared" si="8"/>
        <v>62.399999999999977</v>
      </c>
      <c r="AA203" s="66"/>
      <c r="AB203" s="67"/>
      <c r="AC203" s="73">
        <f>vypocet!AH62</f>
        <v>1.246753246753254E-2</v>
      </c>
      <c r="AD203" s="74"/>
      <c r="AE203" s="76"/>
    </row>
    <row r="204" spans="2:31" x14ac:dyDescent="0.25">
      <c r="B204" s="61"/>
      <c r="C204" s="72">
        <v>17</v>
      </c>
      <c r="D204" s="72"/>
      <c r="E204" s="72"/>
      <c r="F204" s="65">
        <f t="shared" si="6"/>
        <v>15.300000000000004</v>
      </c>
      <c r="G204" s="66"/>
      <c r="H204" s="67"/>
      <c r="I204" s="73">
        <f>vypocet!AH23</f>
        <v>0.10098701298701274</v>
      </c>
      <c r="J204" s="74"/>
      <c r="K204" s="75"/>
      <c r="L204" s="86"/>
      <c r="M204" s="72">
        <v>17</v>
      </c>
      <c r="N204" s="72"/>
      <c r="O204" s="72"/>
      <c r="P204" s="65">
        <f t="shared" si="7"/>
        <v>43.5</v>
      </c>
      <c r="Q204" s="66"/>
      <c r="R204" s="67"/>
      <c r="S204" s="73">
        <f>vypocet!AH43</f>
        <v>-4.2086038961038963E-2</v>
      </c>
      <c r="T204" s="74"/>
      <c r="U204" s="75"/>
      <c r="V204" s="86"/>
      <c r="W204" s="72">
        <v>17</v>
      </c>
      <c r="X204" s="72"/>
      <c r="Y204" s="72"/>
      <c r="Z204" s="65">
        <f t="shared" si="8"/>
        <v>63.299999999999976</v>
      </c>
      <c r="AA204" s="66"/>
      <c r="AB204" s="67"/>
      <c r="AC204" s="73">
        <f>vypocet!AH63</f>
        <v>9.521103896103977E-3</v>
      </c>
      <c r="AD204" s="74"/>
      <c r="AE204" s="76"/>
    </row>
    <row r="205" spans="2:31" x14ac:dyDescent="0.25">
      <c r="B205" s="61"/>
      <c r="C205" s="72">
        <v>18</v>
      </c>
      <c r="D205" s="72"/>
      <c r="E205" s="72"/>
      <c r="F205" s="65">
        <f t="shared" si="6"/>
        <v>16.200000000000003</v>
      </c>
      <c r="G205" s="66"/>
      <c r="H205" s="67"/>
      <c r="I205" s="73">
        <f>vypocet!AH24</f>
        <v>6.4467532467532229E-2</v>
      </c>
      <c r="J205" s="74"/>
      <c r="K205" s="75"/>
      <c r="L205" s="86"/>
      <c r="M205" s="72">
        <v>18</v>
      </c>
      <c r="N205" s="72"/>
      <c r="O205" s="72"/>
      <c r="P205" s="65">
        <f t="shared" si="7"/>
        <v>45</v>
      </c>
      <c r="Q205" s="66"/>
      <c r="R205" s="67"/>
      <c r="S205" s="73">
        <f>vypocet!AH44</f>
        <v>-2.629870129870129E-2</v>
      </c>
      <c r="T205" s="74"/>
      <c r="U205" s="75"/>
      <c r="V205" s="86"/>
      <c r="W205" s="72">
        <v>18</v>
      </c>
      <c r="X205" s="72"/>
      <c r="Y205" s="72"/>
      <c r="Z205" s="65">
        <f t="shared" si="8"/>
        <v>64.199999999999974</v>
      </c>
      <c r="AA205" s="66"/>
      <c r="AB205" s="67"/>
      <c r="AC205" s="73">
        <f>vypocet!AH64</f>
        <v>6.4285714285715187E-3</v>
      </c>
      <c r="AD205" s="74"/>
      <c r="AE205" s="76"/>
    </row>
    <row r="206" spans="2:31" x14ac:dyDescent="0.25">
      <c r="B206" s="61"/>
      <c r="C206" s="72">
        <v>19</v>
      </c>
      <c r="D206" s="72"/>
      <c r="E206" s="72"/>
      <c r="F206" s="65">
        <f t="shared" si="6"/>
        <v>17.100000000000001</v>
      </c>
      <c r="G206" s="66"/>
      <c r="H206" s="67"/>
      <c r="I206" s="73">
        <f>vypocet!AH25</f>
        <v>3.0753246753246463E-2</v>
      </c>
      <c r="J206" s="74"/>
      <c r="K206" s="75"/>
      <c r="L206" s="86"/>
      <c r="M206" s="72">
        <v>19</v>
      </c>
      <c r="N206" s="72"/>
      <c r="O206" s="72"/>
      <c r="P206" s="65">
        <f t="shared" si="7"/>
        <v>46.5</v>
      </c>
      <c r="Q206" s="66"/>
      <c r="R206" s="67"/>
      <c r="S206" s="73">
        <f>vypocet!AH45</f>
        <v>-1.2080627705627718E-2</v>
      </c>
      <c r="T206" s="74"/>
      <c r="U206" s="75"/>
      <c r="V206" s="86"/>
      <c r="W206" s="72">
        <v>19</v>
      </c>
      <c r="X206" s="72"/>
      <c r="Y206" s="72"/>
      <c r="Z206" s="65">
        <f t="shared" si="8"/>
        <v>65.09999999999998</v>
      </c>
      <c r="AA206" s="66"/>
      <c r="AB206" s="67"/>
      <c r="AC206" s="73">
        <f>vypocet!AH65</f>
        <v>3.2386363636364378E-3</v>
      </c>
      <c r="AD206" s="74"/>
      <c r="AE206" s="76"/>
    </row>
    <row r="207" spans="2:31" x14ac:dyDescent="0.25">
      <c r="B207" s="62"/>
      <c r="C207" s="77">
        <v>20</v>
      </c>
      <c r="D207" s="77"/>
      <c r="E207" s="77"/>
      <c r="F207" s="78">
        <f t="shared" si="6"/>
        <v>18</v>
      </c>
      <c r="G207" s="79"/>
      <c r="H207" s="80"/>
      <c r="I207" s="81">
        <f>vypocet!AH26</f>
        <v>0</v>
      </c>
      <c r="J207" s="82"/>
      <c r="K207" s="83"/>
      <c r="L207" s="87"/>
      <c r="M207" s="77">
        <v>20</v>
      </c>
      <c r="N207" s="77"/>
      <c r="O207" s="77"/>
      <c r="P207" s="78">
        <f t="shared" si="7"/>
        <v>48</v>
      </c>
      <c r="Q207" s="79"/>
      <c r="R207" s="80"/>
      <c r="S207" s="81">
        <f>vypocet!AH46</f>
        <v>0</v>
      </c>
      <c r="T207" s="82"/>
      <c r="U207" s="83"/>
      <c r="V207" s="87"/>
      <c r="W207" s="77">
        <v>20</v>
      </c>
      <c r="X207" s="77"/>
      <c r="Y207" s="77"/>
      <c r="Z207" s="78">
        <f t="shared" si="8"/>
        <v>65.999999999999986</v>
      </c>
      <c r="AA207" s="79"/>
      <c r="AB207" s="80"/>
      <c r="AC207" s="81">
        <f>vypocet!AH66</f>
        <v>5.0464682937507114E-17</v>
      </c>
      <c r="AD207" s="82"/>
      <c r="AE207" s="84"/>
    </row>
    <row r="208" spans="2:31" ht="14.25" customHeight="1" thickBot="1" x14ac:dyDescent="0.3">
      <c r="B208" s="49" t="s">
        <v>59</v>
      </c>
      <c r="C208" s="50"/>
      <c r="D208" s="50"/>
      <c r="E208" s="50"/>
      <c r="F208" s="50"/>
      <c r="G208" s="50"/>
      <c r="H208" s="50"/>
      <c r="I208" s="51">
        <f>0.5*K16/20*(2*SUM(I187:K207)-I187-I207)</f>
        <v>8.0672727272727229</v>
      </c>
      <c r="J208" s="52"/>
      <c r="K208" s="53"/>
      <c r="L208" s="108" t="s">
        <v>59</v>
      </c>
      <c r="M208" s="50"/>
      <c r="N208" s="50"/>
      <c r="O208" s="50"/>
      <c r="P208" s="50"/>
      <c r="Q208" s="50"/>
      <c r="R208" s="50"/>
      <c r="S208" s="54">
        <f>0.5*K14/20*(2*SUM(S187:U207)-S187-S207)</f>
        <v>-2.9687500000000004</v>
      </c>
      <c r="T208" s="55"/>
      <c r="U208" s="56"/>
      <c r="V208" s="108" t="s">
        <v>59</v>
      </c>
      <c r="W208" s="50"/>
      <c r="X208" s="50"/>
      <c r="Y208" s="50"/>
      <c r="Z208" s="50"/>
      <c r="AA208" s="50"/>
      <c r="AB208" s="50"/>
      <c r="AC208" s="54">
        <f>0.5*K16/20*(2*SUM(AC187:AE207)-AC187-AC207)</f>
        <v>0.29147727272727314</v>
      </c>
      <c r="AD208" s="55"/>
      <c r="AE208" s="57"/>
    </row>
    <row r="209" spans="2:31" x14ac:dyDescent="0.25">
      <c r="B209" s="4"/>
      <c r="C209" s="9" t="s">
        <v>24</v>
      </c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1" spans="2:31" x14ac:dyDescent="0.25">
      <c r="E211" t="s">
        <v>60</v>
      </c>
      <c r="Q211" s="58">
        <v>12</v>
      </c>
      <c r="R211" s="58"/>
      <c r="S211" s="58"/>
      <c r="T211" t="s">
        <v>3</v>
      </c>
      <c r="W211" s="116">
        <f>IF(Q211&lt;=K16,(1-Q211/K16)+(-(Q211*(K16-Q211)*(Q211+K16)/(2*K16^2)))/K16+3*((Q211/K16)*(1-Q211/K16)*(1+Q211/K16)*K16/2*vypocet!P3)/K16^2,IF(Q211&lt;=(K16+K14),3*(-((Q211-K16)/K14)*(1-((Q211-K16)/K14))^2*K14*vypocet!P3+((Q211-K16)/K14)^2*(1-((Q211-K16)/K14))*K14*vypocet!P4)/K16^2,3*(-((Q211-K14-K16)/K16)*(1-(Q211-K14-K16)/K16)*(2-(Q211-K14-K16)/K16)*K16/2*vypocet!P4)/K16^2))</f>
        <v>0.25637325637325636</v>
      </c>
      <c r="X211" s="116"/>
      <c r="Y211" s="116"/>
      <c r="Z211" t="s">
        <v>58</v>
      </c>
    </row>
    <row r="213" spans="2:31" x14ac:dyDescent="0.25">
      <c r="B213" s="10" t="s">
        <v>61</v>
      </c>
    </row>
    <row r="229" spans="2:31" ht="18.600000000000001" x14ac:dyDescent="0.4">
      <c r="B229" s="6" t="s">
        <v>62</v>
      </c>
      <c r="F229" t="s">
        <v>63</v>
      </c>
    </row>
    <row r="232" spans="2:31" x14ac:dyDescent="0.25">
      <c r="K232" s="1" t="s">
        <v>64</v>
      </c>
      <c r="L232" s="88">
        <f>K16</f>
        <v>18</v>
      </c>
      <c r="M232" s="88"/>
      <c r="N232" s="88"/>
      <c r="O232" s="5" t="s">
        <v>3</v>
      </c>
    </row>
    <row r="233" spans="2:31" ht="17.25" customHeight="1" x14ac:dyDescent="0.25">
      <c r="K233" s="1" t="s">
        <v>38</v>
      </c>
      <c r="L233" s="120">
        <f>3/K16^2*(-vypocet!G7+vypocet!G7^2/2/K16+vypocet!G7^2/K16-vypocet!G7^3/2/K16^2)*vypocet!P4</f>
        <v>2.4993518146737045E-2</v>
      </c>
      <c r="M233" s="120"/>
      <c r="N233" s="120"/>
      <c r="R233" s="1" t="s">
        <v>14</v>
      </c>
      <c r="S233" s="107">
        <f>S77</f>
        <v>55.607695154586736</v>
      </c>
      <c r="T233" s="107"/>
      <c r="U233" s="107"/>
      <c r="V233" s="5" t="s">
        <v>3</v>
      </c>
    </row>
    <row r="234" spans="2:31" x14ac:dyDescent="0.25">
      <c r="K234" s="1" t="s">
        <v>39</v>
      </c>
      <c r="L234" s="120">
        <v>-1</v>
      </c>
      <c r="M234" s="120"/>
      <c r="N234" s="120"/>
      <c r="R234" s="1" t="s">
        <v>14</v>
      </c>
      <c r="S234" s="107">
        <f>L232</f>
        <v>18</v>
      </c>
      <c r="T234" s="107"/>
      <c r="U234" s="107"/>
      <c r="V234" s="5" t="s">
        <v>3</v>
      </c>
    </row>
    <row r="235" spans="2:31" ht="27" customHeight="1" thickBot="1" x14ac:dyDescent="0.4">
      <c r="B235" s="5" t="s">
        <v>25</v>
      </c>
    </row>
    <row r="236" spans="2:31" ht="15.6" x14ac:dyDescent="0.25">
      <c r="B236" s="91" t="s">
        <v>16</v>
      </c>
      <c r="C236" s="92"/>
      <c r="D236" s="92"/>
      <c r="E236" s="93"/>
      <c r="F236" s="97" t="s">
        <v>17</v>
      </c>
      <c r="G236" s="92"/>
      <c r="H236" s="93"/>
      <c r="I236" s="98" t="s">
        <v>66</v>
      </c>
      <c r="J236" s="92"/>
      <c r="K236" s="99"/>
      <c r="L236" s="100" t="s">
        <v>16</v>
      </c>
      <c r="M236" s="92"/>
      <c r="N236" s="92"/>
      <c r="O236" s="93"/>
      <c r="P236" s="97" t="s">
        <v>17</v>
      </c>
      <c r="Q236" s="92"/>
      <c r="R236" s="93"/>
      <c r="S236" s="98" t="s">
        <v>66</v>
      </c>
      <c r="T236" s="92"/>
      <c r="U236" s="99"/>
      <c r="V236" s="100" t="s">
        <v>16</v>
      </c>
      <c r="W236" s="92"/>
      <c r="X236" s="92"/>
      <c r="Y236" s="93"/>
      <c r="Z236" s="97" t="s">
        <v>17</v>
      </c>
      <c r="AA236" s="92"/>
      <c r="AB236" s="93"/>
      <c r="AC236" s="98" t="s">
        <v>66</v>
      </c>
      <c r="AD236" s="92"/>
      <c r="AE236" s="99"/>
    </row>
    <row r="237" spans="2:31" ht="13.8" thickBot="1" x14ac:dyDescent="0.3">
      <c r="B237" s="94"/>
      <c r="C237" s="95"/>
      <c r="D237" s="95"/>
      <c r="E237" s="96"/>
      <c r="F237" s="102" t="s">
        <v>18</v>
      </c>
      <c r="G237" s="95"/>
      <c r="H237" s="96"/>
      <c r="I237" s="102" t="s">
        <v>58</v>
      </c>
      <c r="J237" s="95"/>
      <c r="K237" s="103"/>
      <c r="L237" s="101"/>
      <c r="M237" s="95"/>
      <c r="N237" s="95"/>
      <c r="O237" s="96"/>
      <c r="P237" s="102" t="s">
        <v>18</v>
      </c>
      <c r="Q237" s="95"/>
      <c r="R237" s="96"/>
      <c r="S237" s="95" t="s">
        <v>58</v>
      </c>
      <c r="T237" s="95"/>
      <c r="U237" s="95"/>
      <c r="V237" s="101"/>
      <c r="W237" s="95"/>
      <c r="X237" s="95"/>
      <c r="Y237" s="96"/>
      <c r="Z237" s="102" t="s">
        <v>18</v>
      </c>
      <c r="AA237" s="95"/>
      <c r="AB237" s="96"/>
      <c r="AC237" s="95" t="s">
        <v>58</v>
      </c>
      <c r="AD237" s="95"/>
      <c r="AE237" s="104"/>
    </row>
    <row r="238" spans="2:31" ht="13.8" thickTop="1" x14ac:dyDescent="0.25">
      <c r="B238" s="60" t="s">
        <v>19</v>
      </c>
      <c r="C238" s="63">
        <v>0</v>
      </c>
      <c r="D238" s="63"/>
      <c r="E238" s="64"/>
      <c r="F238" s="65">
        <f>F187</f>
        <v>0</v>
      </c>
      <c r="G238" s="66"/>
      <c r="H238" s="67"/>
      <c r="I238" s="68">
        <f>vypocet!AJ6</f>
        <v>0</v>
      </c>
      <c r="J238" s="69"/>
      <c r="K238" s="70"/>
      <c r="L238" s="85" t="s">
        <v>20</v>
      </c>
      <c r="M238" s="63">
        <v>0</v>
      </c>
      <c r="N238" s="63"/>
      <c r="O238" s="64"/>
      <c r="P238" s="65">
        <f>P187</f>
        <v>18</v>
      </c>
      <c r="Q238" s="66"/>
      <c r="R238" s="67"/>
      <c r="S238" s="68">
        <v>0</v>
      </c>
      <c r="T238" s="69"/>
      <c r="U238" s="70"/>
      <c r="V238" s="85" t="s">
        <v>22</v>
      </c>
      <c r="W238" s="63">
        <v>0</v>
      </c>
      <c r="X238" s="63"/>
      <c r="Y238" s="64"/>
      <c r="Z238" s="65">
        <f>Z187</f>
        <v>48</v>
      </c>
      <c r="AA238" s="66"/>
      <c r="AB238" s="67"/>
      <c r="AC238" s="68">
        <f>vypocet!AJ46</f>
        <v>0</v>
      </c>
      <c r="AD238" s="69"/>
      <c r="AE238" s="71"/>
    </row>
    <row r="239" spans="2:31" x14ac:dyDescent="0.25">
      <c r="B239" s="61"/>
      <c r="C239" s="72">
        <v>1</v>
      </c>
      <c r="D239" s="72"/>
      <c r="E239" s="72"/>
      <c r="F239" s="65">
        <f>F188</f>
        <v>0.9</v>
      </c>
      <c r="G239" s="66"/>
      <c r="H239" s="67"/>
      <c r="I239" s="73">
        <f>vypocet!AJ7</f>
        <v>-6.0363636363636369E-2</v>
      </c>
      <c r="J239" s="74"/>
      <c r="K239" s="75"/>
      <c r="L239" s="86"/>
      <c r="M239" s="72">
        <v>1</v>
      </c>
      <c r="N239" s="72"/>
      <c r="O239" s="72"/>
      <c r="P239" s="65">
        <f>P188</f>
        <v>19.5</v>
      </c>
      <c r="Q239" s="66"/>
      <c r="R239" s="67"/>
      <c r="S239" s="73">
        <f>vypocet!AJ27</f>
        <v>-4.4466991341991342E-2</v>
      </c>
      <c r="T239" s="74"/>
      <c r="U239" s="75"/>
      <c r="V239" s="86"/>
      <c r="W239" s="72">
        <v>1</v>
      </c>
      <c r="X239" s="72"/>
      <c r="Y239" s="72"/>
      <c r="Z239" s="65">
        <f>Z188</f>
        <v>48.9</v>
      </c>
      <c r="AA239" s="66"/>
      <c r="AB239" s="67"/>
      <c r="AC239" s="73">
        <f>vypocet!AJ47</f>
        <v>6.0146103896103788E-3</v>
      </c>
      <c r="AD239" s="74"/>
      <c r="AE239" s="76"/>
    </row>
    <row r="240" spans="2:31" x14ac:dyDescent="0.25">
      <c r="B240" s="61"/>
      <c r="C240" s="72">
        <v>2</v>
      </c>
      <c r="D240" s="72"/>
      <c r="E240" s="72"/>
      <c r="F240" s="65">
        <f t="shared" ref="F240:F258" si="9">F189</f>
        <v>1.8</v>
      </c>
      <c r="G240" s="66"/>
      <c r="H240" s="67"/>
      <c r="I240" s="73">
        <f>vypocet!AJ8</f>
        <v>-0.12057142857142858</v>
      </c>
      <c r="J240" s="74"/>
      <c r="K240" s="75"/>
      <c r="L240" s="86"/>
      <c r="M240" s="72">
        <v>2</v>
      </c>
      <c r="N240" s="72"/>
      <c r="O240" s="72"/>
      <c r="P240" s="65">
        <f t="shared" ref="P240:P258" si="10">P189</f>
        <v>21</v>
      </c>
      <c r="Q240" s="66"/>
      <c r="R240" s="67"/>
      <c r="S240" s="73">
        <f>vypocet!AJ28</f>
        <v>-8.0844155844155857E-2</v>
      </c>
      <c r="T240" s="74"/>
      <c r="U240" s="75"/>
      <c r="V240" s="86"/>
      <c r="W240" s="72">
        <v>2</v>
      </c>
      <c r="X240" s="72"/>
      <c r="Y240" s="72"/>
      <c r="Z240" s="65">
        <f t="shared" ref="Z240:Z258" si="11">Z189</f>
        <v>49.8</v>
      </c>
      <c r="AA240" s="66"/>
      <c r="AB240" s="67"/>
      <c r="AC240" s="73">
        <f>vypocet!AJ48</f>
        <v>1.1103896103896088E-2</v>
      </c>
      <c r="AD240" s="74"/>
      <c r="AE240" s="76"/>
    </row>
    <row r="241" spans="2:31" x14ac:dyDescent="0.25">
      <c r="B241" s="61"/>
      <c r="C241" s="72">
        <v>3</v>
      </c>
      <c r="D241" s="72"/>
      <c r="E241" s="72"/>
      <c r="F241" s="65">
        <f t="shared" si="9"/>
        <v>2.7</v>
      </c>
      <c r="G241" s="66"/>
      <c r="H241" s="67"/>
      <c r="I241" s="73">
        <f>vypocet!AJ9</f>
        <v>-0.1804675324675325</v>
      </c>
      <c r="J241" s="74"/>
      <c r="K241" s="75"/>
      <c r="L241" s="86"/>
      <c r="M241" s="72">
        <v>3</v>
      </c>
      <c r="N241" s="72"/>
      <c r="O241" s="72"/>
      <c r="P241" s="65">
        <f t="shared" si="10"/>
        <v>22.5</v>
      </c>
      <c r="Q241" s="66"/>
      <c r="R241" s="67"/>
      <c r="S241" s="73">
        <f>vypocet!AJ29</f>
        <v>-0.1096996753246753</v>
      </c>
      <c r="T241" s="74"/>
      <c r="U241" s="75"/>
      <c r="V241" s="86"/>
      <c r="W241" s="72">
        <v>3</v>
      </c>
      <c r="X241" s="72"/>
      <c r="Y241" s="72"/>
      <c r="Z241" s="65">
        <f t="shared" si="11"/>
        <v>50.699999999999996</v>
      </c>
      <c r="AA241" s="66"/>
      <c r="AB241" s="67"/>
      <c r="AC241" s="73">
        <f>vypocet!AJ49</f>
        <v>1.5316558441558423E-2</v>
      </c>
      <c r="AD241" s="74"/>
      <c r="AE241" s="76"/>
    </row>
    <row r="242" spans="2:31" x14ac:dyDescent="0.25">
      <c r="B242" s="61"/>
      <c r="C242" s="72">
        <v>4</v>
      </c>
      <c r="D242" s="72"/>
      <c r="E242" s="72"/>
      <c r="F242" s="65">
        <f t="shared" si="9"/>
        <v>3.6</v>
      </c>
      <c r="G242" s="66"/>
      <c r="H242" s="67"/>
      <c r="I242" s="73">
        <f>vypocet!AJ10</f>
        <v>-0.23989610389610391</v>
      </c>
      <c r="J242" s="74"/>
      <c r="K242" s="75"/>
      <c r="L242" s="86"/>
      <c r="M242" s="72">
        <v>4</v>
      </c>
      <c r="N242" s="72"/>
      <c r="O242" s="72"/>
      <c r="P242" s="65">
        <f t="shared" si="10"/>
        <v>24</v>
      </c>
      <c r="Q242" s="66"/>
      <c r="R242" s="67"/>
      <c r="S242" s="73">
        <f>vypocet!AJ30</f>
        <v>-0.13160173160173164</v>
      </c>
      <c r="T242" s="74"/>
      <c r="U242" s="75"/>
      <c r="V242" s="86"/>
      <c r="W242" s="72">
        <v>4</v>
      </c>
      <c r="X242" s="72"/>
      <c r="Y242" s="72"/>
      <c r="Z242" s="65">
        <f t="shared" si="11"/>
        <v>51.599999999999994</v>
      </c>
      <c r="AA242" s="66"/>
      <c r="AB242" s="67"/>
      <c r="AC242" s="73">
        <f>vypocet!AJ50</f>
        <v>1.8701298701298677E-2</v>
      </c>
      <c r="AD242" s="74"/>
      <c r="AE242" s="76"/>
    </row>
    <row r="243" spans="2:31" x14ac:dyDescent="0.25">
      <c r="B243" s="61"/>
      <c r="C243" s="72">
        <v>5</v>
      </c>
      <c r="D243" s="72"/>
      <c r="E243" s="72"/>
      <c r="F243" s="65">
        <f t="shared" si="9"/>
        <v>4.5</v>
      </c>
      <c r="G243" s="66"/>
      <c r="H243" s="67"/>
      <c r="I243" s="73">
        <f>vypocet!AJ11</f>
        <v>-0.29870129870129869</v>
      </c>
      <c r="J243" s="74"/>
      <c r="K243" s="75"/>
      <c r="L243" s="86"/>
      <c r="M243" s="72">
        <v>5</v>
      </c>
      <c r="N243" s="72"/>
      <c r="O243" s="72"/>
      <c r="P243" s="65">
        <f t="shared" si="10"/>
        <v>25.5</v>
      </c>
      <c r="Q243" s="66"/>
      <c r="R243" s="67"/>
      <c r="S243" s="73">
        <f>vypocet!AJ31</f>
        <v>-0.1471185064935065</v>
      </c>
      <c r="T243" s="74"/>
      <c r="U243" s="75"/>
      <c r="V243" s="86"/>
      <c r="W243" s="72">
        <v>5</v>
      </c>
      <c r="X243" s="72"/>
      <c r="Y243" s="72"/>
      <c r="Z243" s="65">
        <f t="shared" si="11"/>
        <v>52.499999999999993</v>
      </c>
      <c r="AA243" s="66"/>
      <c r="AB243" s="67"/>
      <c r="AC243" s="73">
        <f>vypocet!AJ51</f>
        <v>2.1306818181818166E-2</v>
      </c>
      <c r="AD243" s="74"/>
      <c r="AE243" s="76"/>
    </row>
    <row r="244" spans="2:31" x14ac:dyDescent="0.25">
      <c r="B244" s="61"/>
      <c r="C244" s="72">
        <v>6</v>
      </c>
      <c r="D244" s="72"/>
      <c r="E244" s="72"/>
      <c r="F244" s="65">
        <f t="shared" si="9"/>
        <v>5.4</v>
      </c>
      <c r="G244" s="66"/>
      <c r="H244" s="67"/>
      <c r="I244" s="73">
        <f>vypocet!AJ12</f>
        <v>-0.35672727272727267</v>
      </c>
      <c r="J244" s="74"/>
      <c r="K244" s="75"/>
      <c r="L244" s="86"/>
      <c r="M244" s="72">
        <v>6</v>
      </c>
      <c r="N244" s="72"/>
      <c r="O244" s="72"/>
      <c r="P244" s="65">
        <f t="shared" si="10"/>
        <v>27</v>
      </c>
      <c r="Q244" s="66"/>
      <c r="R244" s="67"/>
      <c r="S244" s="73">
        <f>vypocet!AJ32</f>
        <v>-0.15681818181818177</v>
      </c>
      <c r="T244" s="74"/>
      <c r="U244" s="75"/>
      <c r="V244" s="86"/>
      <c r="W244" s="72">
        <v>6</v>
      </c>
      <c r="X244" s="72"/>
      <c r="Y244" s="72"/>
      <c r="Z244" s="65">
        <f t="shared" si="11"/>
        <v>53.399999999999991</v>
      </c>
      <c r="AA244" s="66"/>
      <c r="AB244" s="67"/>
      <c r="AC244" s="73">
        <f>vypocet!AJ52</f>
        <v>2.3181818181818161E-2</v>
      </c>
      <c r="AD244" s="74"/>
      <c r="AE244" s="76"/>
    </row>
    <row r="245" spans="2:31" x14ac:dyDescent="0.25">
      <c r="B245" s="61"/>
      <c r="C245" s="72">
        <v>7</v>
      </c>
      <c r="D245" s="72"/>
      <c r="E245" s="72"/>
      <c r="F245" s="65">
        <f t="shared" si="9"/>
        <v>6.3000000000000007</v>
      </c>
      <c r="G245" s="66"/>
      <c r="H245" s="67"/>
      <c r="I245" s="73">
        <f>vypocet!AJ13</f>
        <v>-0.41381818181818181</v>
      </c>
      <c r="J245" s="74"/>
      <c r="K245" s="75"/>
      <c r="L245" s="86"/>
      <c r="M245" s="72">
        <v>7</v>
      </c>
      <c r="N245" s="72"/>
      <c r="O245" s="72"/>
      <c r="P245" s="65">
        <f t="shared" si="10"/>
        <v>28.5</v>
      </c>
      <c r="Q245" s="66"/>
      <c r="R245" s="67"/>
      <c r="S245" s="73">
        <f>vypocet!AJ33</f>
        <v>-0.16126893939393938</v>
      </c>
      <c r="T245" s="74"/>
      <c r="U245" s="75"/>
      <c r="V245" s="86"/>
      <c r="W245" s="72">
        <v>7</v>
      </c>
      <c r="X245" s="72"/>
      <c r="Y245" s="72"/>
      <c r="Z245" s="65">
        <f t="shared" si="11"/>
        <v>54.29999999999999</v>
      </c>
      <c r="AA245" s="66"/>
      <c r="AB245" s="67"/>
      <c r="AC245" s="73">
        <f>vypocet!AJ53</f>
        <v>2.437499999999999E-2</v>
      </c>
      <c r="AD245" s="74"/>
      <c r="AE245" s="76"/>
    </row>
    <row r="246" spans="2:31" x14ac:dyDescent="0.25">
      <c r="B246" s="61"/>
      <c r="C246" s="72">
        <v>8</v>
      </c>
      <c r="D246" s="72"/>
      <c r="E246" s="72"/>
      <c r="F246" s="65">
        <f t="shared" si="9"/>
        <v>7.2000000000000011</v>
      </c>
      <c r="G246" s="66"/>
      <c r="H246" s="67"/>
      <c r="I246" s="73">
        <f>vypocet!AJ14</f>
        <v>-0.4698181818181818</v>
      </c>
      <c r="J246" s="74"/>
      <c r="K246" s="75"/>
      <c r="L246" s="86"/>
      <c r="M246" s="72">
        <v>8</v>
      </c>
      <c r="N246" s="72"/>
      <c r="O246" s="72"/>
      <c r="P246" s="65">
        <f t="shared" si="10"/>
        <v>30</v>
      </c>
      <c r="Q246" s="66"/>
      <c r="R246" s="67"/>
      <c r="S246" s="73">
        <f>vypocet!AJ34</f>
        <v>-0.16103896103896104</v>
      </c>
      <c r="T246" s="74"/>
      <c r="U246" s="75"/>
      <c r="V246" s="86"/>
      <c r="W246" s="72">
        <v>8</v>
      </c>
      <c r="X246" s="72"/>
      <c r="Y246" s="72"/>
      <c r="Z246" s="65">
        <f t="shared" si="11"/>
        <v>55.199999999999989</v>
      </c>
      <c r="AA246" s="66"/>
      <c r="AB246" s="67"/>
      <c r="AC246" s="73">
        <f>vypocet!AJ54</f>
        <v>2.4935064935064925E-2</v>
      </c>
      <c r="AD246" s="74"/>
      <c r="AE246" s="76"/>
    </row>
    <row r="247" spans="2:31" x14ac:dyDescent="0.25">
      <c r="B247" s="61"/>
      <c r="C247" s="72">
        <v>9</v>
      </c>
      <c r="D247" s="72"/>
      <c r="E247" s="72"/>
      <c r="F247" s="65">
        <f t="shared" si="9"/>
        <v>8.1000000000000014</v>
      </c>
      <c r="G247" s="66"/>
      <c r="H247" s="67"/>
      <c r="I247" s="73">
        <f>vypocet!AJ15</f>
        <v>-0.52457142857142847</v>
      </c>
      <c r="J247" s="74"/>
      <c r="K247" s="75"/>
      <c r="L247" s="86"/>
      <c r="M247" s="72">
        <v>9</v>
      </c>
      <c r="N247" s="72"/>
      <c r="O247" s="72"/>
      <c r="P247" s="65">
        <f t="shared" si="10"/>
        <v>31.5</v>
      </c>
      <c r="Q247" s="66"/>
      <c r="R247" s="67"/>
      <c r="S247" s="73">
        <f>vypocet!AJ35</f>
        <v>-0.1566964285714286</v>
      </c>
      <c r="T247" s="74"/>
      <c r="U247" s="75"/>
      <c r="V247" s="86"/>
      <c r="W247" s="72">
        <v>9</v>
      </c>
      <c r="X247" s="72"/>
      <c r="Y247" s="72"/>
      <c r="Z247" s="65">
        <f t="shared" si="11"/>
        <v>56.099999999999987</v>
      </c>
      <c r="AA247" s="66"/>
      <c r="AB247" s="67"/>
      <c r="AC247" s="73">
        <f>vypocet!AJ55</f>
        <v>2.491071428571429E-2</v>
      </c>
      <c r="AD247" s="74"/>
      <c r="AE247" s="76"/>
    </row>
    <row r="248" spans="2:31" x14ac:dyDescent="0.25">
      <c r="B248" s="61"/>
      <c r="C248" s="72">
        <v>10</v>
      </c>
      <c r="D248" s="72"/>
      <c r="E248" s="72"/>
      <c r="F248" s="65">
        <f t="shared" si="9"/>
        <v>9.0000000000000018</v>
      </c>
      <c r="G248" s="66"/>
      <c r="H248" s="67"/>
      <c r="I248" s="73">
        <f>vypocet!AJ16</f>
        <v>-0.57792207792207784</v>
      </c>
      <c r="J248" s="74"/>
      <c r="K248" s="75"/>
      <c r="L248" s="86"/>
      <c r="M248" s="72">
        <v>10</v>
      </c>
      <c r="N248" s="72"/>
      <c r="O248" s="72"/>
      <c r="P248" s="65">
        <f t="shared" si="10"/>
        <v>33</v>
      </c>
      <c r="Q248" s="66"/>
      <c r="R248" s="67"/>
      <c r="S248" s="73">
        <f>vypocet!AJ36</f>
        <v>-0.14880952380952381</v>
      </c>
      <c r="T248" s="74"/>
      <c r="U248" s="75"/>
      <c r="V248" s="86"/>
      <c r="W248" s="72">
        <v>10</v>
      </c>
      <c r="X248" s="72"/>
      <c r="Y248" s="72"/>
      <c r="Z248" s="65">
        <f t="shared" si="11"/>
        <v>56.999999999999986</v>
      </c>
      <c r="AA248" s="66"/>
      <c r="AB248" s="67"/>
      <c r="AC248" s="73">
        <f>vypocet!AJ56</f>
        <v>2.4350649350649359E-2</v>
      </c>
      <c r="AD248" s="74"/>
      <c r="AE248" s="76"/>
    </row>
    <row r="249" spans="2:31" x14ac:dyDescent="0.25">
      <c r="B249" s="61"/>
      <c r="C249" s="72">
        <v>11</v>
      </c>
      <c r="D249" s="72"/>
      <c r="E249" s="72"/>
      <c r="F249" s="65">
        <f t="shared" si="9"/>
        <v>9.9000000000000021</v>
      </c>
      <c r="G249" s="66"/>
      <c r="H249" s="67"/>
      <c r="I249" s="73">
        <f>vypocet!AJ17</f>
        <v>-0.62971428571428567</v>
      </c>
      <c r="J249" s="74"/>
      <c r="K249" s="75"/>
      <c r="L249" s="86"/>
      <c r="M249" s="72">
        <v>11</v>
      </c>
      <c r="N249" s="72"/>
      <c r="O249" s="72"/>
      <c r="P249" s="65">
        <f t="shared" si="10"/>
        <v>34.5</v>
      </c>
      <c r="Q249" s="66"/>
      <c r="R249" s="67"/>
      <c r="S249" s="73">
        <f>vypocet!AJ37</f>
        <v>-0.13794642857142855</v>
      </c>
      <c r="T249" s="74"/>
      <c r="U249" s="75"/>
      <c r="V249" s="86"/>
      <c r="W249" s="72">
        <v>11</v>
      </c>
      <c r="X249" s="72"/>
      <c r="Y249" s="72"/>
      <c r="Z249" s="65">
        <f t="shared" si="11"/>
        <v>57.899999999999984</v>
      </c>
      <c r="AA249" s="66"/>
      <c r="AB249" s="67"/>
      <c r="AC249" s="73">
        <f>vypocet!AJ57</f>
        <v>2.3303571428571448E-2</v>
      </c>
      <c r="AD249" s="74"/>
      <c r="AE249" s="76"/>
    </row>
    <row r="250" spans="2:31" x14ac:dyDescent="0.25">
      <c r="B250" s="61"/>
      <c r="C250" s="72">
        <v>12</v>
      </c>
      <c r="D250" s="72"/>
      <c r="E250" s="72"/>
      <c r="F250" s="65">
        <f t="shared" si="9"/>
        <v>10.800000000000002</v>
      </c>
      <c r="G250" s="66"/>
      <c r="H250" s="67"/>
      <c r="I250" s="73">
        <f>vypocet!AJ18</f>
        <v>-0.67979220779220784</v>
      </c>
      <c r="J250" s="74"/>
      <c r="K250" s="75"/>
      <c r="L250" s="86"/>
      <c r="M250" s="72">
        <v>12</v>
      </c>
      <c r="N250" s="72"/>
      <c r="O250" s="72"/>
      <c r="P250" s="65">
        <f t="shared" si="10"/>
        <v>36</v>
      </c>
      <c r="Q250" s="66"/>
      <c r="R250" s="67"/>
      <c r="S250" s="73">
        <f>vypocet!AJ38</f>
        <v>-0.12467532467532469</v>
      </c>
      <c r="T250" s="74"/>
      <c r="U250" s="75"/>
      <c r="V250" s="86"/>
      <c r="W250" s="72">
        <v>12</v>
      </c>
      <c r="X250" s="72"/>
      <c r="Y250" s="72"/>
      <c r="Z250" s="65">
        <f t="shared" si="11"/>
        <v>58.799999999999983</v>
      </c>
      <c r="AA250" s="66"/>
      <c r="AB250" s="67"/>
      <c r="AC250" s="73">
        <f>vypocet!AJ58</f>
        <v>2.1818181818181844E-2</v>
      </c>
      <c r="AD250" s="74"/>
      <c r="AE250" s="76"/>
    </row>
    <row r="251" spans="2:31" x14ac:dyDescent="0.25">
      <c r="B251" s="61"/>
      <c r="C251" s="72">
        <v>13</v>
      </c>
      <c r="D251" s="72"/>
      <c r="E251" s="72"/>
      <c r="F251" s="65">
        <f t="shared" si="9"/>
        <v>11.700000000000003</v>
      </c>
      <c r="G251" s="66"/>
      <c r="H251" s="67"/>
      <c r="I251" s="73">
        <f>vypocet!AJ19</f>
        <v>-0.72799999999999998</v>
      </c>
      <c r="J251" s="74"/>
      <c r="K251" s="75"/>
      <c r="L251" s="86"/>
      <c r="M251" s="72">
        <v>13</v>
      </c>
      <c r="N251" s="72"/>
      <c r="O251" s="72"/>
      <c r="P251" s="65">
        <f t="shared" si="10"/>
        <v>37.5</v>
      </c>
      <c r="Q251" s="66"/>
      <c r="R251" s="67"/>
      <c r="S251" s="73">
        <f>vypocet!AJ39</f>
        <v>-0.10956439393939393</v>
      </c>
      <c r="T251" s="74"/>
      <c r="U251" s="75"/>
      <c r="V251" s="86"/>
      <c r="W251" s="72">
        <v>13</v>
      </c>
      <c r="X251" s="72"/>
      <c r="Y251" s="72"/>
      <c r="Z251" s="65">
        <f t="shared" si="11"/>
        <v>59.699999999999982</v>
      </c>
      <c r="AA251" s="66"/>
      <c r="AB251" s="67"/>
      <c r="AC251" s="73">
        <f>vypocet!AJ59</f>
        <v>1.9943181818181853E-2</v>
      </c>
      <c r="AD251" s="74"/>
      <c r="AE251" s="76"/>
    </row>
    <row r="252" spans="2:31" x14ac:dyDescent="0.25">
      <c r="B252" s="61"/>
      <c r="C252" s="72">
        <v>14</v>
      </c>
      <c r="D252" s="72"/>
      <c r="E252" s="72"/>
      <c r="F252" s="65">
        <f t="shared" si="9"/>
        <v>12.600000000000003</v>
      </c>
      <c r="G252" s="66"/>
      <c r="H252" s="67"/>
      <c r="I252" s="73">
        <f>vypocet!AJ20</f>
        <v>-0.77418181818181819</v>
      </c>
      <c r="J252" s="74"/>
      <c r="K252" s="75"/>
      <c r="L252" s="86"/>
      <c r="M252" s="72">
        <v>14</v>
      </c>
      <c r="N252" s="72"/>
      <c r="O252" s="72"/>
      <c r="P252" s="65">
        <f t="shared" si="10"/>
        <v>39</v>
      </c>
      <c r="Q252" s="66"/>
      <c r="R252" s="67"/>
      <c r="S252" s="73">
        <f>vypocet!AJ40</f>
        <v>-9.3181818181818185E-2</v>
      </c>
      <c r="T252" s="74"/>
      <c r="U252" s="75"/>
      <c r="V252" s="86"/>
      <c r="W252" s="72">
        <v>14</v>
      </c>
      <c r="X252" s="72"/>
      <c r="Y252" s="72"/>
      <c r="Z252" s="65">
        <f t="shared" si="11"/>
        <v>60.59999999999998</v>
      </c>
      <c r="AA252" s="66"/>
      <c r="AB252" s="67"/>
      <c r="AC252" s="73">
        <f>vypocet!AJ60</f>
        <v>1.7727272727272782E-2</v>
      </c>
      <c r="AD252" s="74"/>
      <c r="AE252" s="76"/>
    </row>
    <row r="253" spans="2:31" x14ac:dyDescent="0.25">
      <c r="B253" s="61"/>
      <c r="C253" s="72">
        <v>15</v>
      </c>
      <c r="D253" s="72"/>
      <c r="E253" s="72"/>
      <c r="F253" s="65">
        <f t="shared" si="9"/>
        <v>13.500000000000004</v>
      </c>
      <c r="G253" s="66"/>
      <c r="H253" s="67"/>
      <c r="I253" s="73">
        <f>vypocet!AJ21</f>
        <v>-0.81818181818181834</v>
      </c>
      <c r="J253" s="74"/>
      <c r="K253" s="75"/>
      <c r="L253" s="86"/>
      <c r="M253" s="72">
        <v>15</v>
      </c>
      <c r="N253" s="72"/>
      <c r="O253" s="72"/>
      <c r="P253" s="65">
        <f t="shared" si="10"/>
        <v>40.5</v>
      </c>
      <c r="Q253" s="66"/>
      <c r="R253" s="67"/>
      <c r="S253" s="73">
        <f>vypocet!AJ41</f>
        <v>-7.6095779220779203E-2</v>
      </c>
      <c r="T253" s="74"/>
      <c r="U253" s="75"/>
      <c r="V253" s="86"/>
      <c r="W253" s="72">
        <v>15</v>
      </c>
      <c r="X253" s="72"/>
      <c r="Y253" s="72"/>
      <c r="Z253" s="65">
        <f t="shared" si="11"/>
        <v>61.499999999999979</v>
      </c>
      <c r="AA253" s="66"/>
      <c r="AB253" s="67"/>
      <c r="AC253" s="73">
        <f>vypocet!AJ61</f>
        <v>1.5219155844155908E-2</v>
      </c>
      <c r="AD253" s="74"/>
      <c r="AE253" s="76"/>
    </row>
    <row r="254" spans="2:31" x14ac:dyDescent="0.25">
      <c r="B254" s="61"/>
      <c r="C254" s="72">
        <v>16</v>
      </c>
      <c r="D254" s="72"/>
      <c r="E254" s="72"/>
      <c r="F254" s="65">
        <f t="shared" si="9"/>
        <v>14.400000000000004</v>
      </c>
      <c r="G254" s="66"/>
      <c r="H254" s="67"/>
      <c r="I254" s="73">
        <f>vypocet!AJ22</f>
        <v>-0.85984415584415597</v>
      </c>
      <c r="J254" s="74"/>
      <c r="K254" s="75"/>
      <c r="L254" s="86"/>
      <c r="M254" s="72">
        <v>16</v>
      </c>
      <c r="N254" s="72"/>
      <c r="O254" s="72"/>
      <c r="P254" s="65">
        <f t="shared" si="10"/>
        <v>42</v>
      </c>
      <c r="Q254" s="66"/>
      <c r="R254" s="67"/>
      <c r="S254" s="73">
        <f>vypocet!AJ42</f>
        <v>-5.8874458874458864E-2</v>
      </c>
      <c r="T254" s="74"/>
      <c r="U254" s="75"/>
      <c r="V254" s="86"/>
      <c r="W254" s="72">
        <v>16</v>
      </c>
      <c r="X254" s="72"/>
      <c r="Y254" s="72"/>
      <c r="Z254" s="65">
        <f t="shared" si="11"/>
        <v>62.399999999999977</v>
      </c>
      <c r="AA254" s="66"/>
      <c r="AB254" s="67"/>
      <c r="AC254" s="73">
        <f>vypocet!AJ62</f>
        <v>1.246753246753254E-2</v>
      </c>
      <c r="AD254" s="74"/>
      <c r="AE254" s="76"/>
    </row>
    <row r="255" spans="2:31" x14ac:dyDescent="0.25">
      <c r="B255" s="61"/>
      <c r="C255" s="72">
        <v>17</v>
      </c>
      <c r="D255" s="72"/>
      <c r="E255" s="72"/>
      <c r="F255" s="65">
        <f t="shared" si="9"/>
        <v>15.300000000000004</v>
      </c>
      <c r="G255" s="66"/>
      <c r="H255" s="67"/>
      <c r="I255" s="73">
        <f>vypocet!AJ23</f>
        <v>-0.89901298701298715</v>
      </c>
      <c r="J255" s="74"/>
      <c r="K255" s="75"/>
      <c r="L255" s="86"/>
      <c r="M255" s="72">
        <v>17</v>
      </c>
      <c r="N255" s="72"/>
      <c r="O255" s="72"/>
      <c r="P255" s="65">
        <f t="shared" si="10"/>
        <v>43.5</v>
      </c>
      <c r="Q255" s="66"/>
      <c r="R255" s="67"/>
      <c r="S255" s="73">
        <f>vypocet!AJ43</f>
        <v>-4.2086038961038963E-2</v>
      </c>
      <c r="T255" s="74"/>
      <c r="U255" s="75"/>
      <c r="V255" s="86"/>
      <c r="W255" s="72">
        <v>17</v>
      </c>
      <c r="X255" s="72"/>
      <c r="Y255" s="72"/>
      <c r="Z255" s="65">
        <f t="shared" si="11"/>
        <v>63.299999999999976</v>
      </c>
      <c r="AA255" s="66"/>
      <c r="AB255" s="67"/>
      <c r="AC255" s="73">
        <f>vypocet!AJ63</f>
        <v>9.5211038961039753E-3</v>
      </c>
      <c r="AD255" s="74"/>
      <c r="AE255" s="76"/>
    </row>
    <row r="256" spans="2:31" x14ac:dyDescent="0.25">
      <c r="B256" s="61"/>
      <c r="C256" s="72">
        <v>18</v>
      </c>
      <c r="D256" s="72"/>
      <c r="E256" s="72"/>
      <c r="F256" s="65">
        <f t="shared" si="9"/>
        <v>16.200000000000003</v>
      </c>
      <c r="G256" s="66"/>
      <c r="H256" s="67"/>
      <c r="I256" s="73">
        <f>vypocet!AJ24</f>
        <v>-0.93553246753246766</v>
      </c>
      <c r="J256" s="74"/>
      <c r="K256" s="75"/>
      <c r="L256" s="86"/>
      <c r="M256" s="72">
        <v>18</v>
      </c>
      <c r="N256" s="72"/>
      <c r="O256" s="72"/>
      <c r="P256" s="65">
        <f t="shared" si="10"/>
        <v>45</v>
      </c>
      <c r="Q256" s="66"/>
      <c r="R256" s="67"/>
      <c r="S256" s="73">
        <f>vypocet!AJ44</f>
        <v>-2.629870129870129E-2</v>
      </c>
      <c r="T256" s="74"/>
      <c r="U256" s="75"/>
      <c r="V256" s="86"/>
      <c r="W256" s="72">
        <v>18</v>
      </c>
      <c r="X256" s="72"/>
      <c r="Y256" s="72"/>
      <c r="Z256" s="65">
        <f t="shared" si="11"/>
        <v>64.199999999999974</v>
      </c>
      <c r="AA256" s="66"/>
      <c r="AB256" s="67"/>
      <c r="AC256" s="73">
        <f>vypocet!AJ64</f>
        <v>6.4285714285715187E-3</v>
      </c>
      <c r="AD256" s="74"/>
      <c r="AE256" s="76"/>
    </row>
    <row r="257" spans="2:31" x14ac:dyDescent="0.25">
      <c r="B257" s="61"/>
      <c r="C257" s="72">
        <v>19</v>
      </c>
      <c r="D257" s="72"/>
      <c r="E257" s="72"/>
      <c r="F257" s="65">
        <f t="shared" si="9"/>
        <v>17.100000000000001</v>
      </c>
      <c r="G257" s="66"/>
      <c r="H257" s="67"/>
      <c r="I257" s="73">
        <f>vypocet!AJ25</f>
        <v>-0.96924675324675347</v>
      </c>
      <c r="J257" s="74"/>
      <c r="K257" s="75"/>
      <c r="L257" s="86"/>
      <c r="M257" s="72">
        <v>19</v>
      </c>
      <c r="N257" s="72"/>
      <c r="O257" s="72"/>
      <c r="P257" s="65">
        <f t="shared" si="10"/>
        <v>46.5</v>
      </c>
      <c r="Q257" s="66"/>
      <c r="R257" s="67"/>
      <c r="S257" s="73">
        <f>vypocet!AJ45</f>
        <v>-1.2080627705627718E-2</v>
      </c>
      <c r="T257" s="74"/>
      <c r="U257" s="75"/>
      <c r="V257" s="86"/>
      <c r="W257" s="72">
        <v>19</v>
      </c>
      <c r="X257" s="72"/>
      <c r="Y257" s="72"/>
      <c r="Z257" s="65">
        <f t="shared" si="11"/>
        <v>65.09999999999998</v>
      </c>
      <c r="AA257" s="66"/>
      <c r="AB257" s="67"/>
      <c r="AC257" s="73">
        <f>vypocet!AJ65</f>
        <v>3.2386363636364374E-3</v>
      </c>
      <c r="AD257" s="74"/>
      <c r="AE257" s="76"/>
    </row>
    <row r="258" spans="2:31" x14ac:dyDescent="0.25">
      <c r="B258" s="62"/>
      <c r="C258" s="77">
        <v>20</v>
      </c>
      <c r="D258" s="77"/>
      <c r="E258" s="77"/>
      <c r="F258" s="78">
        <f t="shared" si="9"/>
        <v>18</v>
      </c>
      <c r="G258" s="79"/>
      <c r="H258" s="80"/>
      <c r="I258" s="81">
        <f>vypocet!AJ26</f>
        <v>-1</v>
      </c>
      <c r="J258" s="82"/>
      <c r="K258" s="83"/>
      <c r="L258" s="87"/>
      <c r="M258" s="77">
        <v>20</v>
      </c>
      <c r="N258" s="77"/>
      <c r="O258" s="77"/>
      <c r="P258" s="78">
        <f t="shared" si="10"/>
        <v>48</v>
      </c>
      <c r="Q258" s="79"/>
      <c r="R258" s="80"/>
      <c r="S258" s="81">
        <f>vypocet!AJ46</f>
        <v>0</v>
      </c>
      <c r="T258" s="82"/>
      <c r="U258" s="83"/>
      <c r="V258" s="87"/>
      <c r="W258" s="77">
        <v>20</v>
      </c>
      <c r="X258" s="77"/>
      <c r="Y258" s="77"/>
      <c r="Z258" s="78">
        <f t="shared" si="11"/>
        <v>65.999999999999986</v>
      </c>
      <c r="AA258" s="79"/>
      <c r="AB258" s="80"/>
      <c r="AC258" s="81">
        <f>vypocet!AJ66</f>
        <v>5.0464682937507114E-17</v>
      </c>
      <c r="AD258" s="82"/>
      <c r="AE258" s="84"/>
    </row>
    <row r="259" spans="2:31" ht="14.25" customHeight="1" thickBot="1" x14ac:dyDescent="0.4">
      <c r="B259" s="49" t="s">
        <v>65</v>
      </c>
      <c r="C259" s="50"/>
      <c r="D259" s="50"/>
      <c r="E259" s="50"/>
      <c r="F259" s="50"/>
      <c r="G259" s="50"/>
      <c r="H259" s="50"/>
      <c r="I259" s="51">
        <f>0.5*K16/20*(2*SUM(I238:K258)-I238-I258)</f>
        <v>-9.9327272727272735</v>
      </c>
      <c r="J259" s="52"/>
      <c r="K259" s="53"/>
      <c r="L259" s="49" t="s">
        <v>65</v>
      </c>
      <c r="M259" s="50"/>
      <c r="N259" s="50"/>
      <c r="O259" s="50"/>
      <c r="P259" s="50"/>
      <c r="Q259" s="50"/>
      <c r="R259" s="50"/>
      <c r="S259" s="54">
        <f>0.5*K14/20*(2*SUM(S238:U258)-S238-S258)</f>
        <v>-2.96875</v>
      </c>
      <c r="T259" s="55"/>
      <c r="U259" s="56"/>
      <c r="V259" s="49" t="s">
        <v>65</v>
      </c>
      <c r="W259" s="50"/>
      <c r="X259" s="50"/>
      <c r="Y259" s="50"/>
      <c r="Z259" s="50"/>
      <c r="AA259" s="50"/>
      <c r="AB259" s="50"/>
      <c r="AC259" s="54">
        <f>0.5*K16/20*(2*SUM(AC238:AE258)-AC238-AC258)</f>
        <v>0.29147727272727308</v>
      </c>
      <c r="AD259" s="55"/>
      <c r="AE259" s="57"/>
    </row>
    <row r="260" spans="2:31" x14ac:dyDescent="0.25">
      <c r="B260" s="4"/>
      <c r="C260" s="9" t="s">
        <v>24</v>
      </c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2" spans="2:31" ht="15.6" x14ac:dyDescent="0.35">
      <c r="E262" t="s">
        <v>68</v>
      </c>
      <c r="Q262" s="58">
        <v>10.4</v>
      </c>
      <c r="R262" s="58"/>
      <c r="S262" s="58"/>
      <c r="T262" t="s">
        <v>3</v>
      </c>
      <c r="W262" s="116">
        <f>IF(Q262&lt;=K16,(-Q262/K16)+(-(Q262*(K16-Q262)*(Q262+K16)/(2*K16^2)))/K16+3*((Q262/K16)*(1-Q262/K16)*(1+Q262/K16)*K16/2*vypocet!P3)/K16^2,IF(Q262&lt;=(K16+K14),3*(-((Q262-K16)/K14)*(1-((Q262-K16)/K14))^2*K14*vypocet!P3+((Q262-K16)/K14)^2*(1-((Q262-K16)/K14))*K14*vypocet!P4)/K16^2,3*(-((Q262-K14-K16)/K16)*(1-(Q262-K14-K16)/K16)*(2-(Q262-K14-K16)/K16)*K16/2*vypocet!P4)/K16^2))</f>
        <v>-0.65775697005326639</v>
      </c>
      <c r="X262" s="116"/>
      <c r="Y262" s="116"/>
      <c r="Z262" t="s">
        <v>58</v>
      </c>
    </row>
    <row r="264" spans="2:31" ht="15.6" x14ac:dyDescent="0.35">
      <c r="B264" s="10" t="s">
        <v>67</v>
      </c>
    </row>
    <row r="280" spans="2:31" ht="18.600000000000001" x14ac:dyDescent="0.4">
      <c r="B280" s="6" t="s">
        <v>111</v>
      </c>
      <c r="F280" s="37" t="s">
        <v>112</v>
      </c>
    </row>
    <row r="283" spans="2:31" x14ac:dyDescent="0.25">
      <c r="K283" s="1" t="s">
        <v>64</v>
      </c>
      <c r="L283" s="88">
        <f>K16</f>
        <v>18</v>
      </c>
      <c r="M283" s="88"/>
      <c r="N283" s="88"/>
      <c r="O283" s="5" t="s">
        <v>3</v>
      </c>
    </row>
    <row r="284" spans="2:31" x14ac:dyDescent="0.25">
      <c r="K284" s="1" t="s">
        <v>38</v>
      </c>
      <c r="L284" s="89">
        <v>1</v>
      </c>
      <c r="M284" s="89"/>
      <c r="N284" s="89"/>
      <c r="R284" s="1" t="s">
        <v>14</v>
      </c>
      <c r="S284" s="90">
        <f>L283</f>
        <v>18</v>
      </c>
      <c r="T284" s="90"/>
      <c r="U284" s="90"/>
      <c r="V284" s="5" t="s">
        <v>3</v>
      </c>
    </row>
    <row r="285" spans="2:31" x14ac:dyDescent="0.25">
      <c r="K285" s="1" t="s">
        <v>39</v>
      </c>
      <c r="L285" s="89"/>
      <c r="M285" s="89"/>
      <c r="N285" s="89"/>
      <c r="R285" s="1" t="s">
        <v>14</v>
      </c>
      <c r="S285" s="90"/>
      <c r="T285" s="90"/>
      <c r="U285" s="90"/>
      <c r="V285" s="5" t="s">
        <v>3</v>
      </c>
      <c r="AA285" s="24" t="s">
        <v>115</v>
      </c>
    </row>
    <row r="286" spans="2:31" ht="16.8" thickBot="1" x14ac:dyDescent="0.4">
      <c r="B286" s="5" t="s">
        <v>25</v>
      </c>
    </row>
    <row r="287" spans="2:31" ht="15.6" x14ac:dyDescent="0.25">
      <c r="B287" s="91" t="s">
        <v>16</v>
      </c>
      <c r="C287" s="92"/>
      <c r="D287" s="92"/>
      <c r="E287" s="93"/>
      <c r="F287" s="97" t="s">
        <v>17</v>
      </c>
      <c r="G287" s="92"/>
      <c r="H287" s="93"/>
      <c r="I287" s="98" t="s">
        <v>66</v>
      </c>
      <c r="J287" s="92"/>
      <c r="K287" s="99"/>
      <c r="L287" s="100" t="s">
        <v>16</v>
      </c>
      <c r="M287" s="92"/>
      <c r="N287" s="92"/>
      <c r="O287" s="93"/>
      <c r="P287" s="97" t="s">
        <v>17</v>
      </c>
      <c r="Q287" s="92"/>
      <c r="R287" s="93"/>
      <c r="S287" s="98" t="s">
        <v>66</v>
      </c>
      <c r="T287" s="92"/>
      <c r="U287" s="99"/>
      <c r="V287" s="100" t="s">
        <v>16</v>
      </c>
      <c r="W287" s="92"/>
      <c r="X287" s="92"/>
      <c r="Y287" s="93"/>
      <c r="Z287" s="97" t="s">
        <v>17</v>
      </c>
      <c r="AA287" s="92"/>
      <c r="AB287" s="93"/>
      <c r="AC287" s="98" t="s">
        <v>66</v>
      </c>
      <c r="AD287" s="92"/>
      <c r="AE287" s="99"/>
    </row>
    <row r="288" spans="2:31" ht="13.8" thickBot="1" x14ac:dyDescent="0.3">
      <c r="B288" s="94"/>
      <c r="C288" s="95"/>
      <c r="D288" s="95"/>
      <c r="E288" s="96"/>
      <c r="F288" s="102" t="s">
        <v>18</v>
      </c>
      <c r="G288" s="95"/>
      <c r="H288" s="96"/>
      <c r="I288" s="102" t="s">
        <v>58</v>
      </c>
      <c r="J288" s="95"/>
      <c r="K288" s="103"/>
      <c r="L288" s="101"/>
      <c r="M288" s="95"/>
      <c r="N288" s="95"/>
      <c r="O288" s="96"/>
      <c r="P288" s="102" t="s">
        <v>18</v>
      </c>
      <c r="Q288" s="95"/>
      <c r="R288" s="96"/>
      <c r="S288" s="95" t="s">
        <v>58</v>
      </c>
      <c r="T288" s="95"/>
      <c r="U288" s="95"/>
      <c r="V288" s="101"/>
      <c r="W288" s="95"/>
      <c r="X288" s="95"/>
      <c r="Y288" s="96"/>
      <c r="Z288" s="102" t="s">
        <v>18</v>
      </c>
      <c r="AA288" s="95"/>
      <c r="AB288" s="96"/>
      <c r="AC288" s="95" t="s">
        <v>58</v>
      </c>
      <c r="AD288" s="95"/>
      <c r="AE288" s="104"/>
    </row>
    <row r="289" spans="2:31" ht="13.8" thickTop="1" x14ac:dyDescent="0.25">
      <c r="B289" s="60" t="s">
        <v>19</v>
      </c>
      <c r="C289" s="63">
        <v>0</v>
      </c>
      <c r="D289" s="63"/>
      <c r="E289" s="64"/>
      <c r="F289" s="65">
        <f>F238</f>
        <v>0</v>
      </c>
      <c r="G289" s="66"/>
      <c r="H289" s="67"/>
      <c r="I289" s="68">
        <f>vypocet!AM6</f>
        <v>0</v>
      </c>
      <c r="J289" s="69"/>
      <c r="K289" s="70"/>
      <c r="L289" s="85" t="s">
        <v>20</v>
      </c>
      <c r="M289" s="63">
        <v>0</v>
      </c>
      <c r="N289" s="63"/>
      <c r="O289" s="64"/>
      <c r="P289" s="65">
        <f>P238</f>
        <v>18</v>
      </c>
      <c r="Q289" s="66"/>
      <c r="R289" s="67"/>
      <c r="S289" s="68">
        <f>vypocet!AM26</f>
        <v>1</v>
      </c>
      <c r="T289" s="69"/>
      <c r="U289" s="70"/>
      <c r="V289" s="85" t="s">
        <v>22</v>
      </c>
      <c r="W289" s="63">
        <v>0</v>
      </c>
      <c r="X289" s="63"/>
      <c r="Y289" s="64"/>
      <c r="Z289" s="65">
        <f>Z238</f>
        <v>48</v>
      </c>
      <c r="AA289" s="66"/>
      <c r="AB289" s="67"/>
      <c r="AC289" s="68">
        <f>vypocet!AM46</f>
        <v>0</v>
      </c>
      <c r="AD289" s="69"/>
      <c r="AE289" s="71"/>
    </row>
    <row r="290" spans="2:31" x14ac:dyDescent="0.25">
      <c r="B290" s="61"/>
      <c r="C290" s="72">
        <v>1</v>
      </c>
      <c r="D290" s="72"/>
      <c r="E290" s="72"/>
      <c r="F290" s="65">
        <f>F239</f>
        <v>0.9</v>
      </c>
      <c r="G290" s="66"/>
      <c r="H290" s="67"/>
      <c r="I290" s="73">
        <f>vypocet!AM7</f>
        <v>8.1613636363636385E-3</v>
      </c>
      <c r="J290" s="74"/>
      <c r="K290" s="75"/>
      <c r="L290" s="86"/>
      <c r="M290" s="72">
        <v>1</v>
      </c>
      <c r="N290" s="72"/>
      <c r="O290" s="72"/>
      <c r="P290" s="65">
        <f>P239</f>
        <v>19.5</v>
      </c>
      <c r="Q290" s="66"/>
      <c r="R290" s="67"/>
      <c r="S290" s="73">
        <f>vypocet!AM27</f>
        <v>0.96943181818181812</v>
      </c>
      <c r="T290" s="74"/>
      <c r="U290" s="75"/>
      <c r="V290" s="86"/>
      <c r="W290" s="72">
        <v>1</v>
      </c>
      <c r="X290" s="72"/>
      <c r="Y290" s="72"/>
      <c r="Z290" s="65">
        <f>Z239</f>
        <v>48.9</v>
      </c>
      <c r="AA290" s="66"/>
      <c r="AB290" s="67"/>
      <c r="AC290" s="73">
        <f>vypocet!AM47</f>
        <v>-1.5156818181818164E-2</v>
      </c>
      <c r="AD290" s="74"/>
      <c r="AE290" s="76"/>
    </row>
    <row r="291" spans="2:31" x14ac:dyDescent="0.25">
      <c r="B291" s="61"/>
      <c r="C291" s="72">
        <v>2</v>
      </c>
      <c r="D291" s="72"/>
      <c r="E291" s="72"/>
      <c r="F291" s="65">
        <f t="shared" ref="F291:F309" si="12">F240</f>
        <v>1.8</v>
      </c>
      <c r="G291" s="66"/>
      <c r="H291" s="67"/>
      <c r="I291" s="73">
        <f>vypocet!AM8</f>
        <v>1.6200000000000003E-2</v>
      </c>
      <c r="J291" s="74"/>
      <c r="K291" s="75"/>
      <c r="L291" s="86"/>
      <c r="M291" s="72">
        <v>2</v>
      </c>
      <c r="N291" s="72"/>
      <c r="O291" s="72"/>
      <c r="P291" s="65">
        <f t="shared" ref="P291:P309" si="13">P240</f>
        <v>21</v>
      </c>
      <c r="Q291" s="66"/>
      <c r="R291" s="67"/>
      <c r="S291" s="73">
        <f>vypocet!AM28</f>
        <v>0.93272727272727263</v>
      </c>
      <c r="T291" s="74"/>
      <c r="U291" s="75"/>
      <c r="V291" s="86"/>
      <c r="W291" s="72">
        <v>2</v>
      </c>
      <c r="X291" s="72"/>
      <c r="Y291" s="72"/>
      <c r="Z291" s="65">
        <f t="shared" ref="Z291:Z309" si="14">Z240</f>
        <v>49.8</v>
      </c>
      <c r="AA291" s="66"/>
      <c r="AB291" s="67"/>
      <c r="AC291" s="73">
        <f>vypocet!AM48</f>
        <v>-2.7981818181818146E-2</v>
      </c>
      <c r="AD291" s="74"/>
      <c r="AE291" s="76"/>
    </row>
    <row r="292" spans="2:31" x14ac:dyDescent="0.25">
      <c r="B292" s="61"/>
      <c r="C292" s="72">
        <v>3</v>
      </c>
      <c r="D292" s="72"/>
      <c r="E292" s="72"/>
      <c r="F292" s="65">
        <f t="shared" si="12"/>
        <v>2.7</v>
      </c>
      <c r="G292" s="66"/>
      <c r="H292" s="67"/>
      <c r="I292" s="73">
        <f>vypocet!AM9</f>
        <v>2.3993181818181813E-2</v>
      </c>
      <c r="J292" s="74"/>
      <c r="K292" s="75"/>
      <c r="L292" s="86"/>
      <c r="M292" s="72">
        <v>3</v>
      </c>
      <c r="N292" s="72"/>
      <c r="O292" s="72"/>
      <c r="P292" s="65">
        <f t="shared" si="13"/>
        <v>22.5</v>
      </c>
      <c r="Q292" s="66"/>
      <c r="R292" s="67"/>
      <c r="S292" s="73">
        <f>vypocet!AM29</f>
        <v>0.89056818181818165</v>
      </c>
      <c r="T292" s="74"/>
      <c r="U292" s="75"/>
      <c r="V292" s="86"/>
      <c r="W292" s="72">
        <v>3</v>
      </c>
      <c r="X292" s="72"/>
      <c r="Y292" s="72"/>
      <c r="Z292" s="65">
        <f t="shared" si="14"/>
        <v>50.699999999999996</v>
      </c>
      <c r="AA292" s="66"/>
      <c r="AB292" s="67"/>
      <c r="AC292" s="73">
        <f>vypocet!AM49</f>
        <v>-3.8597727272727235E-2</v>
      </c>
      <c r="AD292" s="74"/>
      <c r="AE292" s="76"/>
    </row>
    <row r="293" spans="2:31" x14ac:dyDescent="0.25">
      <c r="B293" s="61"/>
      <c r="C293" s="72">
        <v>4</v>
      </c>
      <c r="D293" s="72"/>
      <c r="E293" s="72"/>
      <c r="F293" s="65">
        <f t="shared" si="12"/>
        <v>3.6</v>
      </c>
      <c r="G293" s="66"/>
      <c r="H293" s="67"/>
      <c r="I293" s="73">
        <f>vypocet!AM10</f>
        <v>3.1418181818181817E-2</v>
      </c>
      <c r="J293" s="74"/>
      <c r="K293" s="75"/>
      <c r="L293" s="86"/>
      <c r="M293" s="72">
        <v>4</v>
      </c>
      <c r="N293" s="72"/>
      <c r="O293" s="72"/>
      <c r="P293" s="65">
        <f t="shared" si="13"/>
        <v>24</v>
      </c>
      <c r="Q293" s="66"/>
      <c r="R293" s="67"/>
      <c r="S293" s="73">
        <f>vypocet!AM30</f>
        <v>0.84363636363636341</v>
      </c>
      <c r="T293" s="74"/>
      <c r="U293" s="75"/>
      <c r="V293" s="86"/>
      <c r="W293" s="72">
        <v>4</v>
      </c>
      <c r="X293" s="72"/>
      <c r="Y293" s="72"/>
      <c r="Z293" s="65">
        <f t="shared" si="14"/>
        <v>51.599999999999994</v>
      </c>
      <c r="AA293" s="66"/>
      <c r="AB293" s="67"/>
      <c r="AC293" s="73">
        <f>vypocet!AM50</f>
        <v>-4.7127272727272684E-2</v>
      </c>
      <c r="AD293" s="74"/>
      <c r="AE293" s="76"/>
    </row>
    <row r="294" spans="2:31" x14ac:dyDescent="0.25">
      <c r="B294" s="61"/>
      <c r="C294" s="72">
        <v>5</v>
      </c>
      <c r="D294" s="72"/>
      <c r="E294" s="72"/>
      <c r="F294" s="65">
        <f t="shared" si="12"/>
        <v>4.5</v>
      </c>
      <c r="G294" s="66"/>
      <c r="H294" s="67"/>
      <c r="I294" s="73">
        <f>vypocet!AM11</f>
        <v>3.8352272727272728E-2</v>
      </c>
      <c r="J294" s="74"/>
      <c r="K294" s="75"/>
      <c r="L294" s="86"/>
      <c r="M294" s="72">
        <v>5</v>
      </c>
      <c r="N294" s="72"/>
      <c r="O294" s="72"/>
      <c r="P294" s="65">
        <f t="shared" si="13"/>
        <v>25.5</v>
      </c>
      <c r="Q294" s="66"/>
      <c r="R294" s="67"/>
      <c r="S294" s="73">
        <f>vypocet!AM31</f>
        <v>0.79261363636363624</v>
      </c>
      <c r="T294" s="74"/>
      <c r="U294" s="75"/>
      <c r="V294" s="86"/>
      <c r="W294" s="72">
        <v>5</v>
      </c>
      <c r="X294" s="72"/>
      <c r="Y294" s="72"/>
      <c r="Z294" s="65">
        <f t="shared" si="14"/>
        <v>52.499999999999993</v>
      </c>
      <c r="AA294" s="66"/>
      <c r="AB294" s="67"/>
      <c r="AC294" s="73">
        <f>vypocet!AM51</f>
        <v>-5.3693181818181772E-2</v>
      </c>
      <c r="AD294" s="74"/>
      <c r="AE294" s="76"/>
    </row>
    <row r="295" spans="2:31" x14ac:dyDescent="0.25">
      <c r="B295" s="61"/>
      <c r="C295" s="72">
        <v>6</v>
      </c>
      <c r="D295" s="72"/>
      <c r="E295" s="72"/>
      <c r="F295" s="65">
        <f t="shared" si="12"/>
        <v>5.4</v>
      </c>
      <c r="G295" s="66"/>
      <c r="H295" s="67"/>
      <c r="I295" s="73">
        <f>vypocet!AM12</f>
        <v>4.4672727272727288E-2</v>
      </c>
      <c r="J295" s="74"/>
      <c r="K295" s="75"/>
      <c r="L295" s="86"/>
      <c r="M295" s="72">
        <v>6</v>
      </c>
      <c r="N295" s="72"/>
      <c r="O295" s="72"/>
      <c r="P295" s="65">
        <f t="shared" si="13"/>
        <v>27</v>
      </c>
      <c r="Q295" s="66"/>
      <c r="R295" s="67"/>
      <c r="S295" s="73">
        <f>vypocet!AM32</f>
        <v>0.73818181818181794</v>
      </c>
      <c r="T295" s="74"/>
      <c r="U295" s="75"/>
      <c r="V295" s="86"/>
      <c r="W295" s="72">
        <v>6</v>
      </c>
      <c r="X295" s="72"/>
      <c r="Y295" s="72"/>
      <c r="Z295" s="65">
        <f t="shared" si="14"/>
        <v>53.399999999999991</v>
      </c>
      <c r="AA295" s="66"/>
      <c r="AB295" s="67"/>
      <c r="AC295" s="73">
        <f>vypocet!AM52</f>
        <v>-5.8418181818181779E-2</v>
      </c>
      <c r="AD295" s="74"/>
      <c r="AE295" s="76"/>
    </row>
    <row r="296" spans="2:31" x14ac:dyDescent="0.25">
      <c r="B296" s="61"/>
      <c r="C296" s="72">
        <v>7</v>
      </c>
      <c r="D296" s="72"/>
      <c r="E296" s="72"/>
      <c r="F296" s="65">
        <f t="shared" si="12"/>
        <v>6.3000000000000007</v>
      </c>
      <c r="G296" s="66"/>
      <c r="H296" s="67"/>
      <c r="I296" s="73">
        <f>vypocet!AM13</f>
        <v>5.0256818181818173E-2</v>
      </c>
      <c r="J296" s="74"/>
      <c r="K296" s="75"/>
      <c r="L296" s="86"/>
      <c r="M296" s="72">
        <v>7</v>
      </c>
      <c r="N296" s="72"/>
      <c r="O296" s="72"/>
      <c r="P296" s="65">
        <f t="shared" si="13"/>
        <v>28.5</v>
      </c>
      <c r="Q296" s="66"/>
      <c r="R296" s="67"/>
      <c r="S296" s="73">
        <f>vypocet!AM33</f>
        <v>0.68102272727272695</v>
      </c>
      <c r="T296" s="74"/>
      <c r="U296" s="75"/>
      <c r="V296" s="86"/>
      <c r="W296" s="72">
        <v>7</v>
      </c>
      <c r="X296" s="72"/>
      <c r="Y296" s="72"/>
      <c r="Z296" s="65">
        <f t="shared" si="14"/>
        <v>54.29999999999999</v>
      </c>
      <c r="AA296" s="66"/>
      <c r="AB296" s="67"/>
      <c r="AC296" s="73">
        <f>vypocet!AM53</f>
        <v>-6.1424999999999973E-2</v>
      </c>
      <c r="AD296" s="74"/>
      <c r="AE296" s="76"/>
    </row>
    <row r="297" spans="2:31" x14ac:dyDescent="0.25">
      <c r="B297" s="61"/>
      <c r="C297" s="72">
        <v>8</v>
      </c>
      <c r="D297" s="72"/>
      <c r="E297" s="72"/>
      <c r="F297" s="65">
        <f t="shared" si="12"/>
        <v>7.2000000000000011</v>
      </c>
      <c r="G297" s="66"/>
      <c r="H297" s="67"/>
      <c r="I297" s="73">
        <f>vypocet!AM14</f>
        <v>5.498181818181818E-2</v>
      </c>
      <c r="J297" s="74"/>
      <c r="K297" s="75"/>
      <c r="L297" s="86"/>
      <c r="M297" s="72">
        <v>8</v>
      </c>
      <c r="N297" s="72"/>
      <c r="O297" s="72"/>
      <c r="P297" s="65">
        <f t="shared" si="13"/>
        <v>30</v>
      </c>
      <c r="Q297" s="66"/>
      <c r="R297" s="67"/>
      <c r="S297" s="73">
        <f>vypocet!AM34</f>
        <v>0.62181818181818138</v>
      </c>
      <c r="T297" s="74"/>
      <c r="U297" s="75"/>
      <c r="V297" s="86"/>
      <c r="W297" s="72">
        <v>8</v>
      </c>
      <c r="X297" s="72"/>
      <c r="Y297" s="72"/>
      <c r="Z297" s="65">
        <f t="shared" si="14"/>
        <v>55.199999999999989</v>
      </c>
      <c r="AA297" s="66"/>
      <c r="AB297" s="67"/>
      <c r="AC297" s="73">
        <f>vypocet!AM54</f>
        <v>-6.2836363636363621E-2</v>
      </c>
      <c r="AD297" s="74"/>
      <c r="AE297" s="76"/>
    </row>
    <row r="298" spans="2:31" x14ac:dyDescent="0.25">
      <c r="B298" s="61"/>
      <c r="C298" s="72">
        <v>9</v>
      </c>
      <c r="D298" s="72"/>
      <c r="E298" s="72"/>
      <c r="F298" s="65">
        <f t="shared" si="12"/>
        <v>8.1000000000000014</v>
      </c>
      <c r="G298" s="66"/>
      <c r="H298" s="67"/>
      <c r="I298" s="73">
        <f>vypocet!AM15</f>
        <v>5.8725000000000006E-2</v>
      </c>
      <c r="J298" s="74"/>
      <c r="K298" s="75"/>
      <c r="L298" s="86"/>
      <c r="M298" s="72">
        <v>9</v>
      </c>
      <c r="N298" s="72"/>
      <c r="O298" s="72"/>
      <c r="P298" s="65">
        <f t="shared" si="13"/>
        <v>31.5</v>
      </c>
      <c r="Q298" s="66"/>
      <c r="R298" s="67"/>
      <c r="S298" s="73">
        <f>vypocet!AM35</f>
        <v>0.56124999999999958</v>
      </c>
      <c r="T298" s="74"/>
      <c r="U298" s="75"/>
      <c r="V298" s="86"/>
      <c r="W298" s="72">
        <v>9</v>
      </c>
      <c r="X298" s="72"/>
      <c r="Y298" s="72"/>
      <c r="Z298" s="65">
        <f t="shared" si="14"/>
        <v>56.099999999999987</v>
      </c>
      <c r="AA298" s="66"/>
      <c r="AB298" s="67"/>
      <c r="AC298" s="73">
        <f>vypocet!AM55</f>
        <v>-6.2775000000000025E-2</v>
      </c>
      <c r="AD298" s="74"/>
      <c r="AE298" s="76"/>
    </row>
    <row r="299" spans="2:31" x14ac:dyDescent="0.25">
      <c r="B299" s="61"/>
      <c r="C299" s="72">
        <v>10</v>
      </c>
      <c r="D299" s="72"/>
      <c r="E299" s="72"/>
      <c r="F299" s="65">
        <f t="shared" si="12"/>
        <v>9.0000000000000018</v>
      </c>
      <c r="G299" s="66"/>
      <c r="H299" s="67"/>
      <c r="I299" s="73">
        <f>vypocet!AM16</f>
        <v>6.136363636363637E-2</v>
      </c>
      <c r="J299" s="74"/>
      <c r="K299" s="75"/>
      <c r="L299" s="86"/>
      <c r="M299" s="72">
        <v>10</v>
      </c>
      <c r="N299" s="72"/>
      <c r="O299" s="72"/>
      <c r="P299" s="65">
        <f t="shared" si="13"/>
        <v>33</v>
      </c>
      <c r="Q299" s="66"/>
      <c r="R299" s="67"/>
      <c r="S299" s="73">
        <f>vypocet!AM36</f>
        <v>0.49999999999999956</v>
      </c>
      <c r="T299" s="74"/>
      <c r="U299" s="75"/>
      <c r="V299" s="86"/>
      <c r="W299" s="72">
        <v>10</v>
      </c>
      <c r="X299" s="72"/>
      <c r="Y299" s="72"/>
      <c r="Z299" s="65">
        <f t="shared" si="14"/>
        <v>56.999999999999986</v>
      </c>
      <c r="AA299" s="66"/>
      <c r="AB299" s="67"/>
      <c r="AC299" s="73">
        <f>vypocet!AM56</f>
        <v>-6.1363636363636391E-2</v>
      </c>
      <c r="AD299" s="74"/>
      <c r="AE299" s="76"/>
    </row>
    <row r="300" spans="2:31" x14ac:dyDescent="0.25">
      <c r="B300" s="61"/>
      <c r="C300" s="72">
        <v>11</v>
      </c>
      <c r="D300" s="72"/>
      <c r="E300" s="72"/>
      <c r="F300" s="65">
        <f t="shared" si="12"/>
        <v>9.9000000000000021</v>
      </c>
      <c r="G300" s="66"/>
      <c r="H300" s="67"/>
      <c r="I300" s="73">
        <f>vypocet!AM17</f>
        <v>6.2775000000000011E-2</v>
      </c>
      <c r="J300" s="74"/>
      <c r="K300" s="75"/>
      <c r="L300" s="86"/>
      <c r="M300" s="72">
        <v>11</v>
      </c>
      <c r="N300" s="72"/>
      <c r="O300" s="72"/>
      <c r="P300" s="65">
        <f t="shared" si="13"/>
        <v>34.5</v>
      </c>
      <c r="Q300" s="66"/>
      <c r="R300" s="67"/>
      <c r="S300" s="73">
        <f>vypocet!AM37</f>
        <v>0.43874999999999964</v>
      </c>
      <c r="T300" s="74"/>
      <c r="U300" s="75"/>
      <c r="V300" s="86"/>
      <c r="W300" s="72">
        <v>11</v>
      </c>
      <c r="X300" s="72"/>
      <c r="Y300" s="72"/>
      <c r="Z300" s="65">
        <f t="shared" si="14"/>
        <v>57.899999999999984</v>
      </c>
      <c r="AA300" s="66"/>
      <c r="AB300" s="67"/>
      <c r="AC300" s="73">
        <f>vypocet!AM57</f>
        <v>-5.8725000000000062E-2</v>
      </c>
      <c r="AD300" s="74"/>
      <c r="AE300" s="76"/>
    </row>
    <row r="301" spans="2:31" x14ac:dyDescent="0.25">
      <c r="B301" s="61"/>
      <c r="C301" s="72">
        <v>12</v>
      </c>
      <c r="D301" s="72"/>
      <c r="E301" s="72"/>
      <c r="F301" s="65">
        <f t="shared" si="12"/>
        <v>10.800000000000002</v>
      </c>
      <c r="G301" s="66"/>
      <c r="H301" s="67"/>
      <c r="I301" s="73">
        <f>vypocet!AM18</f>
        <v>6.2836363636363635E-2</v>
      </c>
      <c r="J301" s="74"/>
      <c r="K301" s="75"/>
      <c r="L301" s="86"/>
      <c r="M301" s="72">
        <v>12</v>
      </c>
      <c r="N301" s="72"/>
      <c r="O301" s="72"/>
      <c r="P301" s="65">
        <f t="shared" si="13"/>
        <v>36</v>
      </c>
      <c r="Q301" s="66"/>
      <c r="R301" s="67"/>
      <c r="S301" s="73">
        <f>vypocet!AM38</f>
        <v>0.37818181818181779</v>
      </c>
      <c r="T301" s="74"/>
      <c r="U301" s="75"/>
      <c r="V301" s="86"/>
      <c r="W301" s="72">
        <v>12</v>
      </c>
      <c r="X301" s="72"/>
      <c r="Y301" s="72"/>
      <c r="Z301" s="65">
        <f t="shared" si="14"/>
        <v>58.799999999999983</v>
      </c>
      <c r="AA301" s="66"/>
      <c r="AB301" s="67"/>
      <c r="AC301" s="73">
        <f>vypocet!AM58</f>
        <v>-5.4981818181818257E-2</v>
      </c>
      <c r="AD301" s="74"/>
      <c r="AE301" s="76"/>
    </row>
    <row r="302" spans="2:31" x14ac:dyDescent="0.25">
      <c r="B302" s="61"/>
      <c r="C302" s="72">
        <v>13</v>
      </c>
      <c r="D302" s="72"/>
      <c r="E302" s="72"/>
      <c r="F302" s="65">
        <f t="shared" si="12"/>
        <v>11.700000000000003</v>
      </c>
      <c r="G302" s="66"/>
      <c r="H302" s="67"/>
      <c r="I302" s="73">
        <f>vypocet!AM19</f>
        <v>6.1425E-2</v>
      </c>
      <c r="J302" s="74"/>
      <c r="K302" s="75"/>
      <c r="L302" s="86"/>
      <c r="M302" s="72">
        <v>13</v>
      </c>
      <c r="N302" s="72"/>
      <c r="O302" s="72"/>
      <c r="P302" s="65">
        <f t="shared" si="13"/>
        <v>37.5</v>
      </c>
      <c r="Q302" s="66"/>
      <c r="R302" s="67"/>
      <c r="S302" s="73">
        <f>vypocet!AM39</f>
        <v>0.31897727272727239</v>
      </c>
      <c r="T302" s="74"/>
      <c r="U302" s="75"/>
      <c r="V302" s="86"/>
      <c r="W302" s="72">
        <v>13</v>
      </c>
      <c r="X302" s="72"/>
      <c r="Y302" s="72"/>
      <c r="Z302" s="65">
        <f t="shared" si="14"/>
        <v>59.699999999999982</v>
      </c>
      <c r="AA302" s="66"/>
      <c r="AB302" s="67"/>
      <c r="AC302" s="73">
        <f>vypocet!AM59</f>
        <v>-5.0256818181818284E-2</v>
      </c>
      <c r="AD302" s="74"/>
      <c r="AE302" s="76"/>
    </row>
    <row r="303" spans="2:31" x14ac:dyDescent="0.25">
      <c r="B303" s="61"/>
      <c r="C303" s="72">
        <v>14</v>
      </c>
      <c r="D303" s="72"/>
      <c r="E303" s="72"/>
      <c r="F303" s="65">
        <f t="shared" si="12"/>
        <v>12.600000000000003</v>
      </c>
      <c r="G303" s="66"/>
      <c r="H303" s="67"/>
      <c r="I303" s="73">
        <f>vypocet!AM20</f>
        <v>5.8418181818181807E-2</v>
      </c>
      <c r="J303" s="74"/>
      <c r="K303" s="75"/>
      <c r="L303" s="86"/>
      <c r="M303" s="72">
        <v>14</v>
      </c>
      <c r="N303" s="72"/>
      <c r="O303" s="72"/>
      <c r="P303" s="65">
        <f t="shared" si="13"/>
        <v>39</v>
      </c>
      <c r="Q303" s="66"/>
      <c r="R303" s="67"/>
      <c r="S303" s="73">
        <f>vypocet!AM40</f>
        <v>0.26181818181818145</v>
      </c>
      <c r="T303" s="74"/>
      <c r="U303" s="75"/>
      <c r="V303" s="86"/>
      <c r="W303" s="72">
        <v>14</v>
      </c>
      <c r="X303" s="72"/>
      <c r="Y303" s="72"/>
      <c r="Z303" s="65">
        <f t="shared" si="14"/>
        <v>60.59999999999998</v>
      </c>
      <c r="AA303" s="66"/>
      <c r="AB303" s="67"/>
      <c r="AC303" s="73">
        <f>vypocet!AM60</f>
        <v>-4.4672727272727412E-2</v>
      </c>
      <c r="AD303" s="74"/>
      <c r="AE303" s="76"/>
    </row>
    <row r="304" spans="2:31" x14ac:dyDescent="0.25">
      <c r="B304" s="61"/>
      <c r="C304" s="72">
        <v>15</v>
      </c>
      <c r="D304" s="72"/>
      <c r="E304" s="72"/>
      <c r="F304" s="65">
        <f t="shared" si="12"/>
        <v>13.500000000000004</v>
      </c>
      <c r="G304" s="66"/>
      <c r="H304" s="67"/>
      <c r="I304" s="73">
        <f>vypocet!AM21</f>
        <v>5.3693181818181786E-2</v>
      </c>
      <c r="J304" s="74"/>
      <c r="K304" s="75"/>
      <c r="L304" s="86"/>
      <c r="M304" s="72">
        <v>15</v>
      </c>
      <c r="N304" s="72"/>
      <c r="O304" s="72"/>
      <c r="P304" s="65">
        <f t="shared" si="13"/>
        <v>40.5</v>
      </c>
      <c r="Q304" s="66"/>
      <c r="R304" s="67"/>
      <c r="S304" s="73">
        <f>vypocet!AM41</f>
        <v>0.20738636363636331</v>
      </c>
      <c r="T304" s="74"/>
      <c r="U304" s="75"/>
      <c r="V304" s="86"/>
      <c r="W304" s="72">
        <v>15</v>
      </c>
      <c r="X304" s="72"/>
      <c r="Y304" s="72"/>
      <c r="Z304" s="65">
        <f t="shared" si="14"/>
        <v>61.499999999999979</v>
      </c>
      <c r="AA304" s="66"/>
      <c r="AB304" s="67"/>
      <c r="AC304" s="73">
        <f>vypocet!AM61</f>
        <v>-3.8352272727272887E-2</v>
      </c>
      <c r="AD304" s="74"/>
      <c r="AE304" s="76"/>
    </row>
    <row r="305" spans="2:31" x14ac:dyDescent="0.25">
      <c r="B305" s="61"/>
      <c r="C305" s="72">
        <v>16</v>
      </c>
      <c r="D305" s="72"/>
      <c r="E305" s="72"/>
      <c r="F305" s="65">
        <f t="shared" si="12"/>
        <v>14.400000000000004</v>
      </c>
      <c r="G305" s="66"/>
      <c r="H305" s="67"/>
      <c r="I305" s="73">
        <f>vypocet!AM22</f>
        <v>4.7127272727272684E-2</v>
      </c>
      <c r="J305" s="74"/>
      <c r="K305" s="75"/>
      <c r="L305" s="86"/>
      <c r="M305" s="72">
        <v>16</v>
      </c>
      <c r="N305" s="72"/>
      <c r="O305" s="72"/>
      <c r="P305" s="65">
        <f t="shared" si="13"/>
        <v>42</v>
      </c>
      <c r="Q305" s="66"/>
      <c r="R305" s="67"/>
      <c r="S305" s="73">
        <f>vypocet!AM42</f>
        <v>0.15636363636363604</v>
      </c>
      <c r="T305" s="74"/>
      <c r="U305" s="75"/>
      <c r="V305" s="86"/>
      <c r="W305" s="72">
        <v>16</v>
      </c>
      <c r="X305" s="72"/>
      <c r="Y305" s="72"/>
      <c r="Z305" s="65">
        <f t="shared" si="14"/>
        <v>62.399999999999977</v>
      </c>
      <c r="AA305" s="66"/>
      <c r="AB305" s="67"/>
      <c r="AC305" s="73">
        <f>vypocet!AM62</f>
        <v>-3.1418181818181998E-2</v>
      </c>
      <c r="AD305" s="74"/>
      <c r="AE305" s="76"/>
    </row>
    <row r="306" spans="2:31" x14ac:dyDescent="0.25">
      <c r="B306" s="61"/>
      <c r="C306" s="72">
        <v>17</v>
      </c>
      <c r="D306" s="72"/>
      <c r="E306" s="72"/>
      <c r="F306" s="65">
        <f t="shared" si="12"/>
        <v>15.300000000000004</v>
      </c>
      <c r="G306" s="66"/>
      <c r="H306" s="67"/>
      <c r="I306" s="73">
        <f>vypocet!AM23</f>
        <v>3.8597727272727242E-2</v>
      </c>
      <c r="J306" s="74"/>
      <c r="K306" s="75"/>
      <c r="L306" s="86"/>
      <c r="M306" s="72">
        <v>17</v>
      </c>
      <c r="N306" s="72"/>
      <c r="O306" s="72"/>
      <c r="P306" s="65">
        <f t="shared" si="13"/>
        <v>43.5</v>
      </c>
      <c r="Q306" s="66"/>
      <c r="R306" s="67"/>
      <c r="S306" s="73">
        <f>vypocet!AM43</f>
        <v>0.10943181818181785</v>
      </c>
      <c r="T306" s="74"/>
      <c r="U306" s="75"/>
      <c r="V306" s="86"/>
      <c r="W306" s="72">
        <v>17</v>
      </c>
      <c r="X306" s="72"/>
      <c r="Y306" s="72"/>
      <c r="Z306" s="65">
        <f t="shared" si="14"/>
        <v>63.299999999999976</v>
      </c>
      <c r="AA306" s="66"/>
      <c r="AB306" s="67"/>
      <c r="AC306" s="73">
        <f>vypocet!AM63</f>
        <v>-2.3993181818182024E-2</v>
      </c>
      <c r="AD306" s="74"/>
      <c r="AE306" s="76"/>
    </row>
    <row r="307" spans="2:31" x14ac:dyDescent="0.25">
      <c r="B307" s="61"/>
      <c r="C307" s="72">
        <v>18</v>
      </c>
      <c r="D307" s="72"/>
      <c r="E307" s="72"/>
      <c r="F307" s="65">
        <f t="shared" si="12"/>
        <v>16.200000000000003</v>
      </c>
      <c r="G307" s="66"/>
      <c r="H307" s="67"/>
      <c r="I307" s="73">
        <f>vypocet!AM24</f>
        <v>2.798181818181816E-2</v>
      </c>
      <c r="J307" s="74"/>
      <c r="K307" s="75"/>
      <c r="L307" s="86"/>
      <c r="M307" s="72">
        <v>18</v>
      </c>
      <c r="N307" s="72"/>
      <c r="O307" s="72"/>
      <c r="P307" s="65">
        <f t="shared" si="13"/>
        <v>45</v>
      </c>
      <c r="Q307" s="66"/>
      <c r="R307" s="67"/>
      <c r="S307" s="73">
        <f>vypocet!AM44</f>
        <v>6.7272727272726957E-2</v>
      </c>
      <c r="T307" s="74"/>
      <c r="U307" s="75"/>
      <c r="V307" s="86"/>
      <c r="W307" s="72">
        <v>18</v>
      </c>
      <c r="X307" s="72"/>
      <c r="Y307" s="72"/>
      <c r="Z307" s="65">
        <f t="shared" si="14"/>
        <v>64.199999999999974</v>
      </c>
      <c r="AA307" s="66"/>
      <c r="AB307" s="67"/>
      <c r="AC307" s="73">
        <f>vypocet!AM64</f>
        <v>-1.6200000000000228E-2</v>
      </c>
      <c r="AD307" s="74"/>
      <c r="AE307" s="76"/>
    </row>
    <row r="308" spans="2:31" x14ac:dyDescent="0.25">
      <c r="B308" s="61"/>
      <c r="C308" s="72">
        <v>19</v>
      </c>
      <c r="D308" s="72"/>
      <c r="E308" s="72"/>
      <c r="F308" s="65">
        <f t="shared" si="12"/>
        <v>17.100000000000001</v>
      </c>
      <c r="G308" s="66"/>
      <c r="H308" s="67"/>
      <c r="I308" s="73">
        <f>vypocet!AM25</f>
        <v>1.5156818181818162E-2</v>
      </c>
      <c r="J308" s="74"/>
      <c r="K308" s="75"/>
      <c r="L308" s="86"/>
      <c r="M308" s="72">
        <v>19</v>
      </c>
      <c r="N308" s="72"/>
      <c r="O308" s="72"/>
      <c r="P308" s="65">
        <f t="shared" si="13"/>
        <v>46.5</v>
      </c>
      <c r="Q308" s="66"/>
      <c r="R308" s="67"/>
      <c r="S308" s="73">
        <f>vypocet!AM45</f>
        <v>3.0568181818181515E-2</v>
      </c>
      <c r="T308" s="74"/>
      <c r="U308" s="75"/>
      <c r="V308" s="86"/>
      <c r="W308" s="72">
        <v>19</v>
      </c>
      <c r="X308" s="72"/>
      <c r="Y308" s="72"/>
      <c r="Z308" s="65">
        <f t="shared" si="14"/>
        <v>65.09999999999998</v>
      </c>
      <c r="AA308" s="66"/>
      <c r="AB308" s="67"/>
      <c r="AC308" s="73">
        <f>vypocet!AM65</f>
        <v>-8.1613636363638258E-3</v>
      </c>
      <c r="AD308" s="74"/>
      <c r="AE308" s="76"/>
    </row>
    <row r="309" spans="2:31" x14ac:dyDescent="0.25">
      <c r="B309" s="62"/>
      <c r="C309" s="77">
        <v>20</v>
      </c>
      <c r="D309" s="77"/>
      <c r="E309" s="77"/>
      <c r="F309" s="78">
        <f t="shared" si="12"/>
        <v>18</v>
      </c>
      <c r="G309" s="79"/>
      <c r="H309" s="80"/>
      <c r="I309" s="81">
        <f>vypocet!AM26</f>
        <v>1</v>
      </c>
      <c r="J309" s="82"/>
      <c r="K309" s="83"/>
      <c r="L309" s="87"/>
      <c r="M309" s="77">
        <v>20</v>
      </c>
      <c r="N309" s="77"/>
      <c r="O309" s="77"/>
      <c r="P309" s="78">
        <f t="shared" si="13"/>
        <v>48</v>
      </c>
      <c r="Q309" s="79"/>
      <c r="R309" s="80"/>
      <c r="S309" s="81">
        <f>vypocet!AM46</f>
        <v>0</v>
      </c>
      <c r="T309" s="82"/>
      <c r="U309" s="83"/>
      <c r="V309" s="87"/>
      <c r="W309" s="77">
        <v>20</v>
      </c>
      <c r="X309" s="77"/>
      <c r="Y309" s="77"/>
      <c r="Z309" s="78">
        <f t="shared" si="14"/>
        <v>65.999999999999986</v>
      </c>
      <c r="AA309" s="79"/>
      <c r="AB309" s="80"/>
      <c r="AC309" s="81">
        <f>vypocet!AM66</f>
        <v>-1.2717100100251791E-16</v>
      </c>
      <c r="AD309" s="82"/>
      <c r="AE309" s="84"/>
    </row>
    <row r="310" spans="2:31" ht="16.2" thickBot="1" x14ac:dyDescent="0.4">
      <c r="B310" s="49" t="s">
        <v>65</v>
      </c>
      <c r="C310" s="50"/>
      <c r="D310" s="50"/>
      <c r="E310" s="50"/>
      <c r="F310" s="50"/>
      <c r="G310" s="50"/>
      <c r="H310" s="50"/>
      <c r="I310" s="51">
        <f>0.5*K16/20*(2*SUM(I289:K309)-I289-I309)</f>
        <v>1.1845227272727272</v>
      </c>
      <c r="J310" s="52"/>
      <c r="K310" s="53"/>
      <c r="L310" s="49" t="s">
        <v>65</v>
      </c>
      <c r="M310" s="50"/>
      <c r="N310" s="50"/>
      <c r="O310" s="50"/>
      <c r="P310" s="50"/>
      <c r="Q310" s="50"/>
      <c r="R310" s="50"/>
      <c r="S310" s="54">
        <f>0.5*K14/20*(2*SUM(S289:U309)-S289-S309)</f>
        <v>14.999999999999989</v>
      </c>
      <c r="T310" s="55"/>
      <c r="U310" s="56"/>
      <c r="V310" s="49" t="s">
        <v>65</v>
      </c>
      <c r="W310" s="50"/>
      <c r="X310" s="50"/>
      <c r="Y310" s="50"/>
      <c r="Z310" s="50"/>
      <c r="AA310" s="50"/>
      <c r="AB310" s="50"/>
      <c r="AC310" s="54">
        <f>0.5*K16/20*(2*SUM(AC289:AE309)-AC289-AC309)</f>
        <v>-0.73452272727272827</v>
      </c>
      <c r="AD310" s="55"/>
      <c r="AE310" s="57"/>
    </row>
    <row r="311" spans="2:31" x14ac:dyDescent="0.25">
      <c r="B311" s="32"/>
      <c r="C311" s="9" t="s">
        <v>24</v>
      </c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</row>
    <row r="313" spans="2:31" ht="15.6" x14ac:dyDescent="0.35">
      <c r="E313" t="s">
        <v>68</v>
      </c>
      <c r="Q313" s="58">
        <v>10.4</v>
      </c>
      <c r="R313" s="58"/>
      <c r="S313" s="58"/>
      <c r="T313" t="s">
        <v>3</v>
      </c>
      <c r="W313" s="59"/>
      <c r="X313" s="59"/>
      <c r="Y313" s="59"/>
      <c r="Z313" t="s">
        <v>58</v>
      </c>
      <c r="AC313" s="24" t="s">
        <v>115</v>
      </c>
    </row>
    <row r="315" spans="2:31" ht="15.6" x14ac:dyDescent="0.35">
      <c r="B315" s="5" t="s">
        <v>116</v>
      </c>
    </row>
    <row r="331" spans="2:27" ht="18.600000000000001" x14ac:dyDescent="0.4">
      <c r="B331" s="6" t="s">
        <v>111</v>
      </c>
      <c r="F331" s="37" t="s">
        <v>112</v>
      </c>
    </row>
    <row r="334" spans="2:27" x14ac:dyDescent="0.25">
      <c r="K334" s="1" t="s">
        <v>64</v>
      </c>
      <c r="L334" s="88">
        <f>K16</f>
        <v>18</v>
      </c>
      <c r="M334" s="88"/>
      <c r="N334" s="88"/>
      <c r="O334" s="5" t="s">
        <v>3</v>
      </c>
    </row>
    <row r="335" spans="2:27" x14ac:dyDescent="0.25">
      <c r="K335" s="1" t="s">
        <v>38</v>
      </c>
      <c r="L335" s="89">
        <v>1</v>
      </c>
      <c r="M335" s="89"/>
      <c r="N335" s="89"/>
      <c r="R335" s="1" t="s">
        <v>14</v>
      </c>
      <c r="S335" s="90">
        <f>L334</f>
        <v>18</v>
      </c>
      <c r="T335" s="90"/>
      <c r="U335" s="90"/>
      <c r="V335" s="5" t="s">
        <v>3</v>
      </c>
    </row>
    <row r="336" spans="2:27" x14ac:dyDescent="0.25">
      <c r="K336" s="1" t="s">
        <v>39</v>
      </c>
      <c r="L336" s="89"/>
      <c r="M336" s="89"/>
      <c r="N336" s="89"/>
      <c r="R336" s="1" t="s">
        <v>14</v>
      </c>
      <c r="S336" s="90"/>
      <c r="T336" s="90"/>
      <c r="U336" s="90"/>
      <c r="V336" s="5" t="s">
        <v>3</v>
      </c>
      <c r="AA336" s="24" t="s">
        <v>115</v>
      </c>
    </row>
    <row r="337" spans="2:31" ht="16.8" thickBot="1" x14ac:dyDescent="0.4">
      <c r="B337" s="5" t="s">
        <v>25</v>
      </c>
    </row>
    <row r="338" spans="2:31" ht="15.6" x14ac:dyDescent="0.25">
      <c r="B338" s="91" t="s">
        <v>16</v>
      </c>
      <c r="C338" s="92"/>
      <c r="D338" s="92"/>
      <c r="E338" s="93"/>
      <c r="F338" s="97" t="s">
        <v>17</v>
      </c>
      <c r="G338" s="92"/>
      <c r="H338" s="93"/>
      <c r="I338" s="98" t="s">
        <v>66</v>
      </c>
      <c r="J338" s="92"/>
      <c r="K338" s="99"/>
      <c r="L338" s="100" t="s">
        <v>16</v>
      </c>
      <c r="M338" s="92"/>
      <c r="N338" s="92"/>
      <c r="O338" s="93"/>
      <c r="P338" s="97" t="s">
        <v>17</v>
      </c>
      <c r="Q338" s="92"/>
      <c r="R338" s="93"/>
      <c r="S338" s="98" t="s">
        <v>66</v>
      </c>
      <c r="T338" s="92"/>
      <c r="U338" s="99"/>
      <c r="V338" s="100" t="s">
        <v>16</v>
      </c>
      <c r="W338" s="92"/>
      <c r="X338" s="92"/>
      <c r="Y338" s="93"/>
      <c r="Z338" s="97" t="s">
        <v>17</v>
      </c>
      <c r="AA338" s="92"/>
      <c r="AB338" s="93"/>
      <c r="AC338" s="98" t="s">
        <v>66</v>
      </c>
      <c r="AD338" s="92"/>
      <c r="AE338" s="99"/>
    </row>
    <row r="339" spans="2:31" ht="13.8" thickBot="1" x14ac:dyDescent="0.3">
      <c r="B339" s="94"/>
      <c r="C339" s="95"/>
      <c r="D339" s="95"/>
      <c r="E339" s="96"/>
      <c r="F339" s="102" t="s">
        <v>18</v>
      </c>
      <c r="G339" s="95"/>
      <c r="H339" s="96"/>
      <c r="I339" s="102" t="s">
        <v>58</v>
      </c>
      <c r="J339" s="95"/>
      <c r="K339" s="103"/>
      <c r="L339" s="101"/>
      <c r="M339" s="95"/>
      <c r="N339" s="95"/>
      <c r="O339" s="96"/>
      <c r="P339" s="102" t="s">
        <v>18</v>
      </c>
      <c r="Q339" s="95"/>
      <c r="R339" s="96"/>
      <c r="S339" s="95" t="s">
        <v>58</v>
      </c>
      <c r="T339" s="95"/>
      <c r="U339" s="95"/>
      <c r="V339" s="101"/>
      <c r="W339" s="95"/>
      <c r="X339" s="95"/>
      <c r="Y339" s="96"/>
      <c r="Z339" s="102" t="s">
        <v>18</v>
      </c>
      <c r="AA339" s="95"/>
      <c r="AB339" s="96"/>
      <c r="AC339" s="95" t="s">
        <v>58</v>
      </c>
      <c r="AD339" s="95"/>
      <c r="AE339" s="104"/>
    </row>
    <row r="340" spans="2:31" ht="13.8" thickTop="1" x14ac:dyDescent="0.25">
      <c r="B340" s="60" t="s">
        <v>19</v>
      </c>
      <c r="C340" s="63">
        <v>0</v>
      </c>
      <c r="D340" s="63"/>
      <c r="E340" s="64"/>
      <c r="F340" s="65">
        <f>F289</f>
        <v>0</v>
      </c>
      <c r="G340" s="66"/>
      <c r="H340" s="67"/>
      <c r="I340" s="68">
        <f>vypocet!AQ6</f>
        <v>0</v>
      </c>
      <c r="J340" s="69"/>
      <c r="K340" s="70"/>
      <c r="L340" s="85" t="s">
        <v>20</v>
      </c>
      <c r="M340" s="63">
        <v>0</v>
      </c>
      <c r="N340" s="63"/>
      <c r="O340" s="64"/>
      <c r="P340" s="65">
        <f>P289</f>
        <v>18</v>
      </c>
      <c r="Q340" s="66"/>
      <c r="R340" s="67"/>
      <c r="S340" s="68">
        <f>vypocet!AQ26</f>
        <v>1</v>
      </c>
      <c r="T340" s="69"/>
      <c r="U340" s="70"/>
      <c r="V340" s="85" t="s">
        <v>22</v>
      </c>
      <c r="W340" s="63">
        <v>0</v>
      </c>
      <c r="X340" s="63"/>
      <c r="Y340" s="64"/>
      <c r="Z340" s="65">
        <f>Z289</f>
        <v>48</v>
      </c>
      <c r="AA340" s="66"/>
      <c r="AB340" s="67"/>
      <c r="AC340" s="68">
        <f>vypocet!AQ46</f>
        <v>0</v>
      </c>
      <c r="AD340" s="69"/>
      <c r="AE340" s="71"/>
    </row>
    <row r="341" spans="2:31" x14ac:dyDescent="0.25">
      <c r="B341" s="61"/>
      <c r="C341" s="72">
        <v>1</v>
      </c>
      <c r="D341" s="72"/>
      <c r="E341" s="72"/>
      <c r="F341" s="65">
        <f>F290</f>
        <v>0.9</v>
      </c>
      <c r="G341" s="66"/>
      <c r="H341" s="67"/>
      <c r="I341" s="73">
        <f>vypocet!AQ7</f>
        <v>6.8525000000000003E-2</v>
      </c>
      <c r="J341" s="74"/>
      <c r="K341" s="75"/>
      <c r="L341" s="86"/>
      <c r="M341" s="72">
        <v>1</v>
      </c>
      <c r="N341" s="72"/>
      <c r="O341" s="72"/>
      <c r="P341" s="65">
        <f>P290</f>
        <v>19.5</v>
      </c>
      <c r="Q341" s="66"/>
      <c r="R341" s="67"/>
      <c r="S341" s="73">
        <f>vypocet!AQ27</f>
        <v>0.99446699134199135</v>
      </c>
      <c r="T341" s="74"/>
      <c r="U341" s="75"/>
      <c r="V341" s="86"/>
      <c r="W341" s="72">
        <v>1</v>
      </c>
      <c r="X341" s="72"/>
      <c r="Y341" s="72"/>
      <c r="Z341" s="65">
        <f>Z290</f>
        <v>48.9</v>
      </c>
      <c r="AA341" s="66"/>
      <c r="AB341" s="67"/>
      <c r="AC341" s="73">
        <f>vypocet!AQ47</f>
        <v>-2.1171428571428542E-2</v>
      </c>
      <c r="AD341" s="74"/>
      <c r="AE341" s="76"/>
    </row>
    <row r="342" spans="2:31" x14ac:dyDescent="0.25">
      <c r="B342" s="61"/>
      <c r="C342" s="72">
        <v>2</v>
      </c>
      <c r="D342" s="72"/>
      <c r="E342" s="72"/>
      <c r="F342" s="65">
        <f t="shared" ref="F342:F360" si="15">F291</f>
        <v>1.8</v>
      </c>
      <c r="G342" s="66"/>
      <c r="H342" s="67"/>
      <c r="I342" s="73">
        <f>vypocet!AQ8</f>
        <v>0.13677142857142857</v>
      </c>
      <c r="J342" s="74"/>
      <c r="K342" s="75"/>
      <c r="L342" s="86"/>
      <c r="M342" s="72">
        <v>2</v>
      </c>
      <c r="N342" s="72"/>
      <c r="O342" s="72"/>
      <c r="P342" s="65">
        <f t="shared" ref="P342:P360" si="16">P291</f>
        <v>21</v>
      </c>
      <c r="Q342" s="66"/>
      <c r="R342" s="67"/>
      <c r="S342" s="73">
        <f>vypocet!AQ28</f>
        <v>0.98084415584415574</v>
      </c>
      <c r="T342" s="74"/>
      <c r="U342" s="75"/>
      <c r="V342" s="86"/>
      <c r="W342" s="72">
        <v>2</v>
      </c>
      <c r="X342" s="72"/>
      <c r="Y342" s="72"/>
      <c r="Z342" s="65">
        <f t="shared" ref="Z342:Z360" si="17">Z291</f>
        <v>49.8</v>
      </c>
      <c r="AA342" s="66"/>
      <c r="AB342" s="67"/>
      <c r="AC342" s="73">
        <f>vypocet!AQ48</f>
        <v>-3.9085714285714238E-2</v>
      </c>
      <c r="AD342" s="74"/>
      <c r="AE342" s="76"/>
    </row>
    <row r="343" spans="2:31" x14ac:dyDescent="0.25">
      <c r="B343" s="61"/>
      <c r="C343" s="72">
        <v>3</v>
      </c>
      <c r="D343" s="72"/>
      <c r="E343" s="72"/>
      <c r="F343" s="65">
        <f t="shared" si="15"/>
        <v>2.7</v>
      </c>
      <c r="G343" s="66"/>
      <c r="H343" s="67"/>
      <c r="I343" s="73">
        <f>vypocet!AQ9</f>
        <v>0.2044607142857143</v>
      </c>
      <c r="J343" s="74"/>
      <c r="K343" s="75"/>
      <c r="L343" s="86"/>
      <c r="M343" s="72">
        <v>3</v>
      </c>
      <c r="N343" s="72"/>
      <c r="O343" s="72"/>
      <c r="P343" s="65">
        <f t="shared" si="16"/>
        <v>22.5</v>
      </c>
      <c r="Q343" s="66"/>
      <c r="R343" s="67"/>
      <c r="S343" s="73">
        <f>vypocet!AQ29</f>
        <v>0.95969967532467515</v>
      </c>
      <c r="T343" s="74"/>
      <c r="U343" s="75"/>
      <c r="V343" s="86"/>
      <c r="W343" s="72">
        <v>3</v>
      </c>
      <c r="X343" s="72"/>
      <c r="Y343" s="72"/>
      <c r="Z343" s="65">
        <f t="shared" si="17"/>
        <v>50.699999999999996</v>
      </c>
      <c r="AA343" s="66"/>
      <c r="AB343" s="67"/>
      <c r="AC343" s="73">
        <f>vypocet!AQ49</f>
        <v>-5.3914285714285658E-2</v>
      </c>
      <c r="AD343" s="74"/>
      <c r="AE343" s="76"/>
    </row>
    <row r="344" spans="2:31" x14ac:dyDescent="0.25">
      <c r="B344" s="61"/>
      <c r="C344" s="72">
        <v>4</v>
      </c>
      <c r="D344" s="72"/>
      <c r="E344" s="72"/>
      <c r="F344" s="65">
        <f t="shared" si="15"/>
        <v>3.6</v>
      </c>
      <c r="G344" s="66"/>
      <c r="H344" s="67"/>
      <c r="I344" s="73">
        <f>vypocet!AQ10</f>
        <v>0.27131428571428573</v>
      </c>
      <c r="J344" s="74"/>
      <c r="K344" s="75"/>
      <c r="L344" s="86"/>
      <c r="M344" s="72">
        <v>4</v>
      </c>
      <c r="N344" s="72"/>
      <c r="O344" s="72"/>
      <c r="P344" s="65">
        <f t="shared" si="16"/>
        <v>24</v>
      </c>
      <c r="Q344" s="66"/>
      <c r="R344" s="67"/>
      <c r="S344" s="73">
        <f>vypocet!AQ30</f>
        <v>0.93160173160173143</v>
      </c>
      <c r="T344" s="74"/>
      <c r="U344" s="75"/>
      <c r="V344" s="86"/>
      <c r="W344" s="72">
        <v>4</v>
      </c>
      <c r="X344" s="72"/>
      <c r="Y344" s="72"/>
      <c r="Z344" s="65">
        <f t="shared" si="17"/>
        <v>51.599999999999994</v>
      </c>
      <c r="AA344" s="66"/>
      <c r="AB344" s="67"/>
      <c r="AC344" s="73">
        <f>vypocet!AQ50</f>
        <v>-6.5828571428571361E-2</v>
      </c>
      <c r="AD344" s="74"/>
      <c r="AE344" s="76"/>
    </row>
    <row r="345" spans="2:31" x14ac:dyDescent="0.25">
      <c r="B345" s="61"/>
      <c r="C345" s="72">
        <v>5</v>
      </c>
      <c r="D345" s="72"/>
      <c r="E345" s="72"/>
      <c r="F345" s="65">
        <f t="shared" si="15"/>
        <v>4.5</v>
      </c>
      <c r="G345" s="66"/>
      <c r="H345" s="67"/>
      <c r="I345" s="73">
        <f>vypocet!AQ11</f>
        <v>0.3370535714285714</v>
      </c>
      <c r="J345" s="74"/>
      <c r="K345" s="75"/>
      <c r="L345" s="86"/>
      <c r="M345" s="72">
        <v>5</v>
      </c>
      <c r="N345" s="72"/>
      <c r="O345" s="72"/>
      <c r="P345" s="65">
        <f t="shared" si="16"/>
        <v>25.5</v>
      </c>
      <c r="Q345" s="66"/>
      <c r="R345" s="67"/>
      <c r="S345" s="73">
        <f>vypocet!AQ31</f>
        <v>0.89711850649350633</v>
      </c>
      <c r="T345" s="74"/>
      <c r="U345" s="75"/>
      <c r="V345" s="86"/>
      <c r="W345" s="72">
        <v>5</v>
      </c>
      <c r="X345" s="72"/>
      <c r="Y345" s="72"/>
      <c r="Z345" s="65">
        <f t="shared" si="17"/>
        <v>52.499999999999993</v>
      </c>
      <c r="AA345" s="66"/>
      <c r="AB345" s="67"/>
      <c r="AC345" s="73">
        <f>vypocet!AQ51</f>
        <v>-7.4999999999999942E-2</v>
      </c>
      <c r="AD345" s="74"/>
      <c r="AE345" s="76"/>
    </row>
    <row r="346" spans="2:31" x14ac:dyDescent="0.25">
      <c r="B346" s="61"/>
      <c r="C346" s="72">
        <v>6</v>
      </c>
      <c r="D346" s="72"/>
      <c r="E346" s="72"/>
      <c r="F346" s="65">
        <f t="shared" si="15"/>
        <v>5.4</v>
      </c>
      <c r="G346" s="66"/>
      <c r="H346" s="67"/>
      <c r="I346" s="73">
        <f>vypocet!AQ12</f>
        <v>0.40139999999999998</v>
      </c>
      <c r="J346" s="74"/>
      <c r="K346" s="75"/>
      <c r="L346" s="86"/>
      <c r="M346" s="72">
        <v>6</v>
      </c>
      <c r="N346" s="72"/>
      <c r="O346" s="72"/>
      <c r="P346" s="65">
        <f t="shared" si="16"/>
        <v>27</v>
      </c>
      <c r="Q346" s="66"/>
      <c r="R346" s="67"/>
      <c r="S346" s="73">
        <f>vypocet!AQ32</f>
        <v>0.85681818181818148</v>
      </c>
      <c r="T346" s="74"/>
      <c r="U346" s="75"/>
      <c r="V346" s="86"/>
      <c r="W346" s="72">
        <v>6</v>
      </c>
      <c r="X346" s="72"/>
      <c r="Y346" s="72"/>
      <c r="Z346" s="65">
        <f t="shared" si="17"/>
        <v>53.399999999999991</v>
      </c>
      <c r="AA346" s="66"/>
      <c r="AB346" s="67"/>
      <c r="AC346" s="73">
        <f>vypocet!AQ52</f>
        <v>-8.1599999999999936E-2</v>
      </c>
      <c r="AD346" s="74"/>
      <c r="AE346" s="76"/>
    </row>
    <row r="347" spans="2:31" x14ac:dyDescent="0.25">
      <c r="B347" s="61"/>
      <c r="C347" s="72">
        <v>7</v>
      </c>
      <c r="D347" s="72"/>
      <c r="E347" s="72"/>
      <c r="F347" s="65">
        <f t="shared" si="15"/>
        <v>6.3000000000000007</v>
      </c>
      <c r="G347" s="66"/>
      <c r="H347" s="67"/>
      <c r="I347" s="73">
        <f>vypocet!AQ13</f>
        <v>0.46407499999999996</v>
      </c>
      <c r="J347" s="74"/>
      <c r="K347" s="75"/>
      <c r="L347" s="86"/>
      <c r="M347" s="72">
        <v>7</v>
      </c>
      <c r="N347" s="72"/>
      <c r="O347" s="72"/>
      <c r="P347" s="65">
        <f t="shared" si="16"/>
        <v>28.5</v>
      </c>
      <c r="Q347" s="66"/>
      <c r="R347" s="67"/>
      <c r="S347" s="73">
        <f>vypocet!AQ33</f>
        <v>0.81126893939393907</v>
      </c>
      <c r="T347" s="74"/>
      <c r="U347" s="75"/>
      <c r="V347" s="86"/>
      <c r="W347" s="72">
        <v>7</v>
      </c>
      <c r="X347" s="72"/>
      <c r="Y347" s="72"/>
      <c r="Z347" s="65">
        <f t="shared" si="17"/>
        <v>54.29999999999999</v>
      </c>
      <c r="AA347" s="66"/>
      <c r="AB347" s="67"/>
      <c r="AC347" s="73">
        <f>vypocet!AQ53</f>
        <v>-8.579999999999996E-2</v>
      </c>
      <c r="AD347" s="74"/>
      <c r="AE347" s="76"/>
    </row>
    <row r="348" spans="2:31" x14ac:dyDescent="0.25">
      <c r="B348" s="61"/>
      <c r="C348" s="72">
        <v>8</v>
      </c>
      <c r="D348" s="72"/>
      <c r="E348" s="72"/>
      <c r="F348" s="65">
        <f t="shared" si="15"/>
        <v>7.2000000000000011</v>
      </c>
      <c r="G348" s="66"/>
      <c r="H348" s="67"/>
      <c r="I348" s="73">
        <f>vypocet!AQ14</f>
        <v>0.52479999999999993</v>
      </c>
      <c r="J348" s="74"/>
      <c r="K348" s="75"/>
      <c r="L348" s="86"/>
      <c r="M348" s="72">
        <v>8</v>
      </c>
      <c r="N348" s="72"/>
      <c r="O348" s="72"/>
      <c r="P348" s="65">
        <f t="shared" si="16"/>
        <v>30</v>
      </c>
      <c r="Q348" s="66"/>
      <c r="R348" s="67"/>
      <c r="S348" s="73">
        <f>vypocet!AQ34</f>
        <v>0.76103896103896074</v>
      </c>
      <c r="T348" s="74"/>
      <c r="U348" s="75"/>
      <c r="V348" s="86"/>
      <c r="W348" s="72">
        <v>8</v>
      </c>
      <c r="X348" s="72"/>
      <c r="Y348" s="72"/>
      <c r="Z348" s="65">
        <f t="shared" si="17"/>
        <v>55.199999999999989</v>
      </c>
      <c r="AA348" s="66"/>
      <c r="AB348" s="67"/>
      <c r="AC348" s="73">
        <f>vypocet!AQ54</f>
        <v>-8.7771428571428542E-2</v>
      </c>
      <c r="AD348" s="74"/>
      <c r="AE348" s="76"/>
    </row>
    <row r="349" spans="2:31" x14ac:dyDescent="0.25">
      <c r="B349" s="61"/>
      <c r="C349" s="72">
        <v>9</v>
      </c>
      <c r="D349" s="72"/>
      <c r="E349" s="72"/>
      <c r="F349" s="65">
        <f t="shared" si="15"/>
        <v>8.1000000000000014</v>
      </c>
      <c r="G349" s="66"/>
      <c r="H349" s="67"/>
      <c r="I349" s="73">
        <f>vypocet!AQ15</f>
        <v>0.58329642857142849</v>
      </c>
      <c r="J349" s="74"/>
      <c r="K349" s="75"/>
      <c r="L349" s="86"/>
      <c r="M349" s="72">
        <v>9</v>
      </c>
      <c r="N349" s="72"/>
      <c r="O349" s="72"/>
      <c r="P349" s="65">
        <f t="shared" si="16"/>
        <v>31.5</v>
      </c>
      <c r="Q349" s="66"/>
      <c r="R349" s="67"/>
      <c r="S349" s="73">
        <f>vypocet!AQ35</f>
        <v>0.70669642857142823</v>
      </c>
      <c r="T349" s="74"/>
      <c r="U349" s="75"/>
      <c r="V349" s="86"/>
      <c r="W349" s="72">
        <v>9</v>
      </c>
      <c r="X349" s="72"/>
      <c r="Y349" s="72"/>
      <c r="Z349" s="65">
        <f t="shared" si="17"/>
        <v>56.099999999999987</v>
      </c>
      <c r="AA349" s="66"/>
      <c r="AB349" s="67"/>
      <c r="AC349" s="73">
        <f>vypocet!AQ55</f>
        <v>-8.7685714285714311E-2</v>
      </c>
      <c r="AD349" s="74"/>
      <c r="AE349" s="76"/>
    </row>
    <row r="350" spans="2:31" x14ac:dyDescent="0.25">
      <c r="B350" s="61"/>
      <c r="C350" s="72">
        <v>10</v>
      </c>
      <c r="D350" s="72"/>
      <c r="E350" s="72"/>
      <c r="F350" s="65">
        <f t="shared" si="15"/>
        <v>9.0000000000000018</v>
      </c>
      <c r="G350" s="66"/>
      <c r="H350" s="67"/>
      <c r="I350" s="73">
        <f>vypocet!AQ16</f>
        <v>0.63928571428571423</v>
      </c>
      <c r="J350" s="74"/>
      <c r="K350" s="75"/>
      <c r="L350" s="86"/>
      <c r="M350" s="72">
        <v>10</v>
      </c>
      <c r="N350" s="72"/>
      <c r="O350" s="72"/>
      <c r="P350" s="65">
        <f t="shared" si="16"/>
        <v>33</v>
      </c>
      <c r="Q350" s="66"/>
      <c r="R350" s="67"/>
      <c r="S350" s="73">
        <f>vypocet!AQ36</f>
        <v>0.64880952380952339</v>
      </c>
      <c r="T350" s="74"/>
      <c r="U350" s="75"/>
      <c r="V350" s="86"/>
      <c r="W350" s="72">
        <v>10</v>
      </c>
      <c r="X350" s="72"/>
      <c r="Y350" s="72"/>
      <c r="Z350" s="65">
        <f t="shared" si="17"/>
        <v>56.999999999999986</v>
      </c>
      <c r="AA350" s="66"/>
      <c r="AB350" s="67"/>
      <c r="AC350" s="73">
        <f>vypocet!AQ56</f>
        <v>-8.5714285714285743E-2</v>
      </c>
      <c r="AD350" s="74"/>
      <c r="AE350" s="76"/>
    </row>
    <row r="351" spans="2:31" x14ac:dyDescent="0.25">
      <c r="B351" s="61"/>
      <c r="C351" s="72">
        <v>11</v>
      </c>
      <c r="D351" s="72"/>
      <c r="E351" s="72"/>
      <c r="F351" s="65">
        <f t="shared" si="15"/>
        <v>9.9000000000000021</v>
      </c>
      <c r="G351" s="66"/>
      <c r="H351" s="67"/>
      <c r="I351" s="73">
        <f>vypocet!AQ17</f>
        <v>0.6924892857142857</v>
      </c>
      <c r="J351" s="74"/>
      <c r="K351" s="75"/>
      <c r="L351" s="86"/>
      <c r="M351" s="72">
        <v>11</v>
      </c>
      <c r="N351" s="72"/>
      <c r="O351" s="72"/>
      <c r="P351" s="65">
        <f t="shared" si="16"/>
        <v>34.5</v>
      </c>
      <c r="Q351" s="66"/>
      <c r="R351" s="67"/>
      <c r="S351" s="73">
        <f>vypocet!AQ37</f>
        <v>0.5879464285714282</v>
      </c>
      <c r="T351" s="74"/>
      <c r="U351" s="75"/>
      <c r="V351" s="86"/>
      <c r="W351" s="72">
        <v>11</v>
      </c>
      <c r="X351" s="72"/>
      <c r="Y351" s="72"/>
      <c r="Z351" s="65">
        <f t="shared" si="17"/>
        <v>57.899999999999984</v>
      </c>
      <c r="AA351" s="66"/>
      <c r="AB351" s="67"/>
      <c r="AC351" s="73">
        <f>vypocet!AQ57</f>
        <v>-8.2028571428571506E-2</v>
      </c>
      <c r="AD351" s="74"/>
      <c r="AE351" s="76"/>
    </row>
    <row r="352" spans="2:31" x14ac:dyDescent="0.25">
      <c r="B352" s="61"/>
      <c r="C352" s="72">
        <v>12</v>
      </c>
      <c r="D352" s="72"/>
      <c r="E352" s="72"/>
      <c r="F352" s="65">
        <f t="shared" si="15"/>
        <v>10.800000000000002</v>
      </c>
      <c r="G352" s="66"/>
      <c r="H352" s="67"/>
      <c r="I352" s="73">
        <f>vypocet!AQ18</f>
        <v>0.74262857142857142</v>
      </c>
      <c r="J352" s="74"/>
      <c r="K352" s="75"/>
      <c r="L352" s="86"/>
      <c r="M352" s="72">
        <v>12</v>
      </c>
      <c r="N352" s="72"/>
      <c r="O352" s="72"/>
      <c r="P352" s="65">
        <f t="shared" si="16"/>
        <v>36</v>
      </c>
      <c r="Q352" s="66"/>
      <c r="R352" s="67"/>
      <c r="S352" s="73">
        <f>vypocet!AQ38</f>
        <v>0.52467532467532429</v>
      </c>
      <c r="T352" s="74"/>
      <c r="U352" s="75"/>
      <c r="V352" s="86"/>
      <c r="W352" s="72">
        <v>12</v>
      </c>
      <c r="X352" s="72"/>
      <c r="Y352" s="72"/>
      <c r="Z352" s="65">
        <f t="shared" si="17"/>
        <v>58.799999999999983</v>
      </c>
      <c r="AA352" s="66"/>
      <c r="AB352" s="67"/>
      <c r="AC352" s="73">
        <f>vypocet!AQ58</f>
        <v>-7.6800000000000104E-2</v>
      </c>
      <c r="AD352" s="74"/>
      <c r="AE352" s="76"/>
    </row>
    <row r="353" spans="2:33" x14ac:dyDescent="0.25">
      <c r="B353" s="61"/>
      <c r="C353" s="72">
        <v>13</v>
      </c>
      <c r="D353" s="72"/>
      <c r="E353" s="72"/>
      <c r="F353" s="65">
        <f t="shared" si="15"/>
        <v>11.700000000000003</v>
      </c>
      <c r="G353" s="66"/>
      <c r="H353" s="67"/>
      <c r="I353" s="73">
        <f>vypocet!AQ19</f>
        <v>0.78942499999999993</v>
      </c>
      <c r="J353" s="74"/>
      <c r="K353" s="75"/>
      <c r="L353" s="86"/>
      <c r="M353" s="72">
        <v>13</v>
      </c>
      <c r="N353" s="72"/>
      <c r="O353" s="72"/>
      <c r="P353" s="65">
        <f t="shared" si="16"/>
        <v>37.5</v>
      </c>
      <c r="Q353" s="66"/>
      <c r="R353" s="67"/>
      <c r="S353" s="73">
        <f>vypocet!AQ39</f>
        <v>0.45956439393939358</v>
      </c>
      <c r="T353" s="74"/>
      <c r="U353" s="75"/>
      <c r="V353" s="86"/>
      <c r="W353" s="72">
        <v>13</v>
      </c>
      <c r="X353" s="72"/>
      <c r="Y353" s="72"/>
      <c r="Z353" s="65">
        <f t="shared" si="17"/>
        <v>59.699999999999982</v>
      </c>
      <c r="AA353" s="66"/>
      <c r="AB353" s="67"/>
      <c r="AC353" s="73">
        <f>vypocet!AQ59</f>
        <v>-7.0200000000000137E-2</v>
      </c>
      <c r="AD353" s="74"/>
      <c r="AE353" s="76"/>
    </row>
    <row r="354" spans="2:33" x14ac:dyDescent="0.25">
      <c r="B354" s="61"/>
      <c r="C354" s="72">
        <v>14</v>
      </c>
      <c r="D354" s="72"/>
      <c r="E354" s="72"/>
      <c r="F354" s="65">
        <f t="shared" si="15"/>
        <v>12.600000000000003</v>
      </c>
      <c r="G354" s="66"/>
      <c r="H354" s="67"/>
      <c r="I354" s="73">
        <f>vypocet!AQ20</f>
        <v>0.83260000000000001</v>
      </c>
      <c r="J354" s="74"/>
      <c r="K354" s="75"/>
      <c r="L354" s="86"/>
      <c r="M354" s="72">
        <v>14</v>
      </c>
      <c r="N354" s="72"/>
      <c r="O354" s="72"/>
      <c r="P354" s="65">
        <f t="shared" si="16"/>
        <v>39</v>
      </c>
      <c r="Q354" s="66"/>
      <c r="R354" s="67"/>
      <c r="S354" s="73">
        <f>vypocet!AQ40</f>
        <v>0.39318181818181785</v>
      </c>
      <c r="T354" s="74"/>
      <c r="U354" s="75"/>
      <c r="V354" s="86"/>
      <c r="W354" s="72">
        <v>14</v>
      </c>
      <c r="X354" s="72"/>
      <c r="Y354" s="72"/>
      <c r="Z354" s="65">
        <f t="shared" si="17"/>
        <v>60.59999999999998</v>
      </c>
      <c r="AA354" s="66"/>
      <c r="AB354" s="67"/>
      <c r="AC354" s="73">
        <f>vypocet!AQ60</f>
        <v>-6.2400000000000191E-2</v>
      </c>
      <c r="AD354" s="74"/>
      <c r="AE354" s="76"/>
    </row>
    <row r="355" spans="2:33" x14ac:dyDescent="0.25">
      <c r="B355" s="61"/>
      <c r="C355" s="72">
        <v>15</v>
      </c>
      <c r="D355" s="72"/>
      <c r="E355" s="72"/>
      <c r="F355" s="65">
        <f t="shared" si="15"/>
        <v>13.500000000000004</v>
      </c>
      <c r="G355" s="66"/>
      <c r="H355" s="67"/>
      <c r="I355" s="73">
        <f>vypocet!AQ21</f>
        <v>0.87187500000000018</v>
      </c>
      <c r="J355" s="74"/>
      <c r="K355" s="75"/>
      <c r="L355" s="86"/>
      <c r="M355" s="72">
        <v>15</v>
      </c>
      <c r="N355" s="72"/>
      <c r="O355" s="72"/>
      <c r="P355" s="65">
        <f t="shared" si="16"/>
        <v>40.5</v>
      </c>
      <c r="Q355" s="66"/>
      <c r="R355" s="67"/>
      <c r="S355" s="73">
        <f>vypocet!AQ41</f>
        <v>0.32609577922077887</v>
      </c>
      <c r="T355" s="74"/>
      <c r="U355" s="75"/>
      <c r="V355" s="86"/>
      <c r="W355" s="72">
        <v>15</v>
      </c>
      <c r="X355" s="72"/>
      <c r="Y355" s="72"/>
      <c r="Z355" s="65">
        <f t="shared" si="17"/>
        <v>61.499999999999979</v>
      </c>
      <c r="AA355" s="66"/>
      <c r="AB355" s="67"/>
      <c r="AC355" s="73">
        <f>vypocet!AQ61</f>
        <v>-5.3571428571428797E-2</v>
      </c>
      <c r="AD355" s="74"/>
      <c r="AE355" s="76"/>
    </row>
    <row r="356" spans="2:33" x14ac:dyDescent="0.25">
      <c r="B356" s="61"/>
      <c r="C356" s="72">
        <v>16</v>
      </c>
      <c r="D356" s="72"/>
      <c r="E356" s="72"/>
      <c r="F356" s="65">
        <f t="shared" si="15"/>
        <v>14.400000000000004</v>
      </c>
      <c r="G356" s="66"/>
      <c r="H356" s="67"/>
      <c r="I356" s="73">
        <f>vypocet!AQ22</f>
        <v>0.90697142857142865</v>
      </c>
      <c r="J356" s="74"/>
      <c r="K356" s="75"/>
      <c r="L356" s="86"/>
      <c r="M356" s="72">
        <v>16</v>
      </c>
      <c r="N356" s="72"/>
      <c r="O356" s="72"/>
      <c r="P356" s="65">
        <f t="shared" si="16"/>
        <v>42</v>
      </c>
      <c r="Q356" s="66"/>
      <c r="R356" s="67"/>
      <c r="S356" s="73">
        <f>vypocet!AQ42</f>
        <v>0.25887445887445854</v>
      </c>
      <c r="T356" s="74"/>
      <c r="U356" s="75"/>
      <c r="V356" s="86"/>
      <c r="W356" s="72">
        <v>16</v>
      </c>
      <c r="X356" s="72"/>
      <c r="Y356" s="72"/>
      <c r="Z356" s="65">
        <f t="shared" si="17"/>
        <v>62.399999999999977</v>
      </c>
      <c r="AA356" s="66"/>
      <c r="AB356" s="67"/>
      <c r="AC356" s="73">
        <f>vypocet!AQ62</f>
        <v>-4.3885714285714542E-2</v>
      </c>
      <c r="AD356" s="74"/>
      <c r="AE356" s="76"/>
    </row>
    <row r="357" spans="2:33" x14ac:dyDescent="0.25">
      <c r="B357" s="61"/>
      <c r="C357" s="72">
        <v>17</v>
      </c>
      <c r="D357" s="72"/>
      <c r="E357" s="72"/>
      <c r="F357" s="65">
        <f t="shared" si="15"/>
        <v>15.300000000000004</v>
      </c>
      <c r="G357" s="66"/>
      <c r="H357" s="67"/>
      <c r="I357" s="73">
        <f>vypocet!AQ23</f>
        <v>0.93761071428571441</v>
      </c>
      <c r="J357" s="74"/>
      <c r="K357" s="75"/>
      <c r="L357" s="86"/>
      <c r="M357" s="72">
        <v>17</v>
      </c>
      <c r="N357" s="72"/>
      <c r="O357" s="72"/>
      <c r="P357" s="65">
        <f t="shared" si="16"/>
        <v>43.5</v>
      </c>
      <c r="Q357" s="66"/>
      <c r="R357" s="67"/>
      <c r="S357" s="73">
        <f>vypocet!AQ43</f>
        <v>0.19208603896103865</v>
      </c>
      <c r="T357" s="74"/>
      <c r="U357" s="75"/>
      <c r="V357" s="86"/>
      <c r="W357" s="72">
        <v>17</v>
      </c>
      <c r="X357" s="72"/>
      <c r="Y357" s="72"/>
      <c r="Z357" s="65">
        <f t="shared" si="17"/>
        <v>63.299999999999976</v>
      </c>
      <c r="AA357" s="66"/>
      <c r="AB357" s="67"/>
      <c r="AC357" s="73">
        <f>vypocet!AQ63</f>
        <v>-3.3514285714285996E-2</v>
      </c>
      <c r="AD357" s="74"/>
      <c r="AE357" s="76"/>
    </row>
    <row r="358" spans="2:33" x14ac:dyDescent="0.25">
      <c r="B358" s="61"/>
      <c r="C358" s="72">
        <v>18</v>
      </c>
      <c r="D358" s="72"/>
      <c r="E358" s="72"/>
      <c r="F358" s="65">
        <f t="shared" si="15"/>
        <v>16.200000000000003</v>
      </c>
      <c r="G358" s="66"/>
      <c r="H358" s="67"/>
      <c r="I358" s="73">
        <f>vypocet!AQ24</f>
        <v>0.96351428571428577</v>
      </c>
      <c r="J358" s="74"/>
      <c r="K358" s="75"/>
      <c r="L358" s="86"/>
      <c r="M358" s="72">
        <v>18</v>
      </c>
      <c r="N358" s="72"/>
      <c r="O358" s="72"/>
      <c r="P358" s="65">
        <f t="shared" si="16"/>
        <v>45</v>
      </c>
      <c r="Q358" s="66"/>
      <c r="R358" s="67"/>
      <c r="S358" s="73">
        <f>vypocet!AQ44</f>
        <v>0.12629870129870097</v>
      </c>
      <c r="T358" s="74"/>
      <c r="U358" s="75"/>
      <c r="V358" s="86"/>
      <c r="W358" s="72">
        <v>18</v>
      </c>
      <c r="X358" s="72"/>
      <c r="Y358" s="72"/>
      <c r="Z358" s="65">
        <f t="shared" si="17"/>
        <v>64.199999999999974</v>
      </c>
      <c r="AA358" s="66"/>
      <c r="AB358" s="67"/>
      <c r="AC358" s="73">
        <f>vypocet!AQ64</f>
        <v>-2.2628571428571748E-2</v>
      </c>
      <c r="AD358" s="74"/>
      <c r="AE358" s="76"/>
    </row>
    <row r="359" spans="2:33" x14ac:dyDescent="0.25">
      <c r="B359" s="61"/>
      <c r="C359" s="72">
        <v>19</v>
      </c>
      <c r="D359" s="72"/>
      <c r="E359" s="72"/>
      <c r="F359" s="65">
        <f t="shared" si="15"/>
        <v>17.100000000000001</v>
      </c>
      <c r="G359" s="66"/>
      <c r="H359" s="67"/>
      <c r="I359" s="73">
        <f>vypocet!AQ25</f>
        <v>0.9844035714285716</v>
      </c>
      <c r="J359" s="74"/>
      <c r="K359" s="75"/>
      <c r="L359" s="86"/>
      <c r="M359" s="72">
        <v>19</v>
      </c>
      <c r="N359" s="72"/>
      <c r="O359" s="72"/>
      <c r="P359" s="65">
        <f t="shared" si="16"/>
        <v>46.5</v>
      </c>
      <c r="Q359" s="66"/>
      <c r="R359" s="67"/>
      <c r="S359" s="73">
        <f>vypocet!AQ45</f>
        <v>6.2080627705627403E-2</v>
      </c>
      <c r="T359" s="74"/>
      <c r="U359" s="75"/>
      <c r="V359" s="86"/>
      <c r="W359" s="72">
        <v>19</v>
      </c>
      <c r="X359" s="72"/>
      <c r="Y359" s="72"/>
      <c r="Z359" s="65">
        <f t="shared" si="17"/>
        <v>65.09999999999998</v>
      </c>
      <c r="AA359" s="66"/>
      <c r="AB359" s="67"/>
      <c r="AC359" s="73">
        <f>vypocet!AQ65</f>
        <v>-1.1400000000000264E-2</v>
      </c>
      <c r="AD359" s="74"/>
      <c r="AE359" s="76"/>
    </row>
    <row r="360" spans="2:33" x14ac:dyDescent="0.25">
      <c r="B360" s="62"/>
      <c r="C360" s="77">
        <v>20</v>
      </c>
      <c r="D360" s="77"/>
      <c r="E360" s="77"/>
      <c r="F360" s="78">
        <f t="shared" si="15"/>
        <v>18</v>
      </c>
      <c r="G360" s="79"/>
      <c r="H360" s="80"/>
      <c r="I360" s="81">
        <f>vypocet!AQ26</f>
        <v>1</v>
      </c>
      <c r="J360" s="82"/>
      <c r="K360" s="83"/>
      <c r="L360" s="87"/>
      <c r="M360" s="77">
        <v>20</v>
      </c>
      <c r="N360" s="77"/>
      <c r="O360" s="77"/>
      <c r="P360" s="78">
        <f t="shared" si="16"/>
        <v>48</v>
      </c>
      <c r="Q360" s="79"/>
      <c r="R360" s="80"/>
      <c r="S360" s="81">
        <f>vypocet!AQ46</f>
        <v>0</v>
      </c>
      <c r="T360" s="82"/>
      <c r="U360" s="83"/>
      <c r="V360" s="87"/>
      <c r="W360" s="77">
        <v>20</v>
      </c>
      <c r="X360" s="77"/>
      <c r="Y360" s="77"/>
      <c r="Z360" s="78">
        <f t="shared" si="17"/>
        <v>65.999999999999986</v>
      </c>
      <c r="AA360" s="79"/>
      <c r="AB360" s="80"/>
      <c r="AC360" s="81">
        <f>vypocet!AQ66</f>
        <v>-1.7763568394002503E-16</v>
      </c>
      <c r="AD360" s="82"/>
      <c r="AE360" s="84"/>
    </row>
    <row r="361" spans="2:33" ht="16.2" thickBot="1" x14ac:dyDescent="0.4">
      <c r="B361" s="49" t="s">
        <v>65</v>
      </c>
      <c r="C361" s="50"/>
      <c r="D361" s="50"/>
      <c r="E361" s="50"/>
      <c r="F361" s="50"/>
      <c r="G361" s="50"/>
      <c r="H361" s="50"/>
      <c r="I361" s="51">
        <f>0.5*K16/20*(2*SUM(I340:K360)-I340-I360)</f>
        <v>10.667250000000003</v>
      </c>
      <c r="J361" s="52"/>
      <c r="K361" s="53"/>
      <c r="L361" s="49" t="s">
        <v>65</v>
      </c>
      <c r="M361" s="50"/>
      <c r="N361" s="50"/>
      <c r="O361" s="50"/>
      <c r="P361" s="50"/>
      <c r="Q361" s="50"/>
      <c r="R361" s="50"/>
      <c r="S361" s="54">
        <f>0.5*K14/20*(2*SUM(S340:U360)-S340-S360)</f>
        <v>17.968749999999993</v>
      </c>
      <c r="T361" s="55"/>
      <c r="U361" s="56"/>
      <c r="V361" s="49" t="s">
        <v>65</v>
      </c>
      <c r="W361" s="50"/>
      <c r="X361" s="50"/>
      <c r="Y361" s="50"/>
      <c r="Z361" s="50"/>
      <c r="AA361" s="50"/>
      <c r="AB361" s="50"/>
      <c r="AC361" s="54">
        <f>0.5*K16/20*(2*SUM(AC340:AE360)-AC340-AC360)</f>
        <v>-1.0260000000000016</v>
      </c>
      <c r="AD361" s="55"/>
      <c r="AE361" s="57"/>
      <c r="AG361" s="48"/>
    </row>
    <row r="362" spans="2:33" x14ac:dyDescent="0.25">
      <c r="B362" s="32"/>
      <c r="C362" s="9" t="s">
        <v>24</v>
      </c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</row>
    <row r="364" spans="2:33" ht="15.6" x14ac:dyDescent="0.35">
      <c r="E364" t="s">
        <v>68</v>
      </c>
      <c r="Q364" s="58">
        <v>10.4</v>
      </c>
      <c r="R364" s="58"/>
      <c r="S364" s="58"/>
      <c r="T364" t="s">
        <v>3</v>
      </c>
      <c r="W364" s="59"/>
      <c r="X364" s="59"/>
      <c r="Y364" s="59"/>
      <c r="Z364" t="s">
        <v>58</v>
      </c>
      <c r="AC364" s="24" t="s">
        <v>115</v>
      </c>
    </row>
    <row r="396" spans="2:6" ht="36.75" customHeight="1" x14ac:dyDescent="0.3">
      <c r="B396" s="12" t="s">
        <v>71</v>
      </c>
    </row>
    <row r="399" spans="2:6" ht="17.399999999999999" x14ac:dyDescent="0.3">
      <c r="B399" s="6" t="s">
        <v>74</v>
      </c>
      <c r="F399" t="s">
        <v>72</v>
      </c>
    </row>
    <row r="400" spans="2:6" x14ac:dyDescent="0.25">
      <c r="E400" t="s">
        <v>73</v>
      </c>
    </row>
    <row r="402" spans="3:32" ht="16.8" thickBot="1" x14ac:dyDescent="0.4">
      <c r="C402" s="5" t="s">
        <v>75</v>
      </c>
    </row>
    <row r="403" spans="3:32" x14ac:dyDescent="0.25">
      <c r="C403" s="91" t="s">
        <v>16</v>
      </c>
      <c r="D403" s="92"/>
      <c r="E403" s="92"/>
      <c r="F403" s="93"/>
      <c r="G403" s="97" t="s">
        <v>17</v>
      </c>
      <c r="H403" s="92"/>
      <c r="I403" s="93"/>
      <c r="J403" s="121" t="s">
        <v>77</v>
      </c>
      <c r="K403" s="92"/>
      <c r="L403" s="122"/>
      <c r="M403" s="100" t="s">
        <v>16</v>
      </c>
      <c r="N403" s="92"/>
      <c r="O403" s="92"/>
      <c r="P403" s="93"/>
      <c r="Q403" s="97" t="s">
        <v>17</v>
      </c>
      <c r="R403" s="92"/>
      <c r="S403" s="93"/>
      <c r="T403" s="121" t="s">
        <v>77</v>
      </c>
      <c r="U403" s="92"/>
      <c r="V403" s="122"/>
      <c r="W403" s="100" t="s">
        <v>16</v>
      </c>
      <c r="X403" s="92"/>
      <c r="Y403" s="92"/>
      <c r="Z403" s="93"/>
      <c r="AA403" s="97" t="s">
        <v>17</v>
      </c>
      <c r="AB403" s="92"/>
      <c r="AC403" s="93"/>
      <c r="AD403" s="121" t="s">
        <v>77</v>
      </c>
      <c r="AE403" s="92"/>
      <c r="AF403" s="99"/>
    </row>
    <row r="404" spans="3:32" ht="13.8" thickBot="1" x14ac:dyDescent="0.3">
      <c r="C404" s="94"/>
      <c r="D404" s="95"/>
      <c r="E404" s="95"/>
      <c r="F404" s="96"/>
      <c r="G404" s="102" t="s">
        <v>18</v>
      </c>
      <c r="H404" s="95"/>
      <c r="I404" s="96"/>
      <c r="J404" s="102" t="s">
        <v>58</v>
      </c>
      <c r="K404" s="95"/>
      <c r="L404" s="103"/>
      <c r="M404" s="101"/>
      <c r="N404" s="95"/>
      <c r="O404" s="95"/>
      <c r="P404" s="96"/>
      <c r="Q404" s="102" t="s">
        <v>18</v>
      </c>
      <c r="R404" s="95"/>
      <c r="S404" s="96"/>
      <c r="T404" s="95" t="s">
        <v>58</v>
      </c>
      <c r="U404" s="95"/>
      <c r="V404" s="95"/>
      <c r="W404" s="101"/>
      <c r="X404" s="95"/>
      <c r="Y404" s="95"/>
      <c r="Z404" s="96"/>
      <c r="AA404" s="102" t="s">
        <v>18</v>
      </c>
      <c r="AB404" s="95"/>
      <c r="AC404" s="96"/>
      <c r="AD404" s="95" t="s">
        <v>58</v>
      </c>
      <c r="AE404" s="95"/>
      <c r="AF404" s="104"/>
    </row>
    <row r="405" spans="3:32" ht="13.8" thickTop="1" x14ac:dyDescent="0.25">
      <c r="C405" s="60" t="s">
        <v>19</v>
      </c>
      <c r="D405" s="63">
        <v>0</v>
      </c>
      <c r="E405" s="63"/>
      <c r="F405" s="64"/>
      <c r="G405" s="65">
        <f t="shared" ref="G405:G425" si="18">F238</f>
        <v>0</v>
      </c>
      <c r="H405" s="66"/>
      <c r="I405" s="67"/>
      <c r="J405" s="68">
        <f>vypocet!BA6</f>
        <v>0.63894042465471024</v>
      </c>
      <c r="K405" s="69"/>
      <c r="L405" s="70"/>
      <c r="M405" s="85" t="s">
        <v>20</v>
      </c>
      <c r="N405" s="63">
        <v>0</v>
      </c>
      <c r="O405" s="63"/>
      <c r="P405" s="64"/>
      <c r="Q405" s="65">
        <f t="shared" ref="Q405:Q425" si="19">P238</f>
        <v>18</v>
      </c>
      <c r="R405" s="66"/>
      <c r="S405" s="67"/>
      <c r="T405" s="68">
        <f>vypocet!BC28</f>
        <v>-0.17470624613481767</v>
      </c>
      <c r="U405" s="69"/>
      <c r="V405" s="70"/>
      <c r="W405" s="85" t="s">
        <v>22</v>
      </c>
      <c r="X405" s="63">
        <v>0</v>
      </c>
      <c r="Y405" s="63"/>
      <c r="Z405" s="64"/>
      <c r="AA405" s="65">
        <f t="shared" ref="AA405:AA425" si="20">Z238</f>
        <v>48</v>
      </c>
      <c r="AB405" s="66"/>
      <c r="AC405" s="67"/>
      <c r="AD405" s="68">
        <f>vypocet!BC48</f>
        <v>3.8823610252181687E-2</v>
      </c>
      <c r="AE405" s="69"/>
      <c r="AF405" s="71"/>
    </row>
    <row r="406" spans="3:32" x14ac:dyDescent="0.25">
      <c r="C406" s="61"/>
      <c r="D406" s="72">
        <v>1</v>
      </c>
      <c r="E406" s="72"/>
      <c r="F406" s="72"/>
      <c r="G406" s="65">
        <f t="shared" si="18"/>
        <v>0.9</v>
      </c>
      <c r="H406" s="66"/>
      <c r="I406" s="67"/>
      <c r="J406" s="73">
        <f>vypocet!BA7</f>
        <v>0.63940630797773634</v>
      </c>
      <c r="K406" s="74"/>
      <c r="L406" s="75"/>
      <c r="M406" s="86"/>
      <c r="N406" s="72">
        <v>1</v>
      </c>
      <c r="O406" s="72"/>
      <c r="P406" s="72"/>
      <c r="Q406" s="65">
        <f t="shared" si="19"/>
        <v>19.5</v>
      </c>
      <c r="R406" s="66"/>
      <c r="S406" s="67"/>
      <c r="T406" s="73">
        <f>vypocet!BC29</f>
        <v>-0.14466647770219204</v>
      </c>
      <c r="U406" s="74"/>
      <c r="V406" s="75"/>
      <c r="W406" s="86"/>
      <c r="X406" s="72">
        <v>1</v>
      </c>
      <c r="Y406" s="72"/>
      <c r="Z406" s="72"/>
      <c r="AA406" s="65">
        <f t="shared" si="20"/>
        <v>48.9</v>
      </c>
      <c r="AB406" s="66"/>
      <c r="AC406" s="67"/>
      <c r="AD406" s="73">
        <f>vypocet!BC49</f>
        <v>3.3145657252800123E-2</v>
      </c>
      <c r="AE406" s="74"/>
      <c r="AF406" s="76"/>
    </row>
    <row r="407" spans="3:32" x14ac:dyDescent="0.25">
      <c r="C407" s="61"/>
      <c r="D407" s="72">
        <v>2</v>
      </c>
      <c r="E407" s="72"/>
      <c r="F407" s="72"/>
      <c r="G407" s="65">
        <f t="shared" si="18"/>
        <v>1.8</v>
      </c>
      <c r="H407" s="66"/>
      <c r="I407" s="67"/>
      <c r="J407" s="73">
        <f>vypocet!BA8</f>
        <v>0.64080395794681499</v>
      </c>
      <c r="K407" s="74"/>
      <c r="L407" s="75"/>
      <c r="M407" s="86"/>
      <c r="N407" s="72">
        <v>2</v>
      </c>
      <c r="O407" s="72"/>
      <c r="P407" s="72"/>
      <c r="Q407" s="65">
        <f t="shared" si="19"/>
        <v>21</v>
      </c>
      <c r="R407" s="66"/>
      <c r="S407" s="67"/>
      <c r="T407" s="73">
        <f>vypocet!BC30</f>
        <v>-0.11666494880780597</v>
      </c>
      <c r="U407" s="74"/>
      <c r="V407" s="75"/>
      <c r="W407" s="86"/>
      <c r="X407" s="72">
        <v>2</v>
      </c>
      <c r="Y407" s="72"/>
      <c r="Z407" s="72"/>
      <c r="AA407" s="65">
        <f t="shared" si="20"/>
        <v>49.8</v>
      </c>
      <c r="AB407" s="66"/>
      <c r="AC407" s="67"/>
      <c r="AD407" s="73">
        <f>vypocet!BC50</f>
        <v>2.7758881330309914E-2</v>
      </c>
      <c r="AE407" s="74"/>
      <c r="AF407" s="76"/>
    </row>
    <row r="408" spans="3:32" x14ac:dyDescent="0.25">
      <c r="C408" s="61"/>
      <c r="D408" s="72">
        <v>3</v>
      </c>
      <c r="E408" s="72"/>
      <c r="F408" s="72"/>
      <c r="G408" s="65">
        <f t="shared" si="18"/>
        <v>2.7</v>
      </c>
      <c r="H408" s="66"/>
      <c r="I408" s="67"/>
      <c r="J408" s="73">
        <f>vypocet!BA9</f>
        <v>0.64313337456194586</v>
      </c>
      <c r="K408" s="74"/>
      <c r="L408" s="75"/>
      <c r="M408" s="86"/>
      <c r="N408" s="72">
        <v>3</v>
      </c>
      <c r="O408" s="72"/>
      <c r="P408" s="72"/>
      <c r="Q408" s="65">
        <f t="shared" si="19"/>
        <v>22.5</v>
      </c>
      <c r="R408" s="66"/>
      <c r="S408" s="67"/>
      <c r="T408" s="73">
        <f>vypocet!BC31</f>
        <v>-9.0701659451659478E-2</v>
      </c>
      <c r="U408" s="74"/>
      <c r="V408" s="75"/>
      <c r="W408" s="86"/>
      <c r="X408" s="72">
        <v>3</v>
      </c>
      <c r="Y408" s="72"/>
      <c r="Z408" s="72"/>
      <c r="AA408" s="65">
        <f t="shared" si="20"/>
        <v>50.699999999999996</v>
      </c>
      <c r="AB408" s="66"/>
      <c r="AC408" s="67"/>
      <c r="AD408" s="73">
        <f>vypocet!BC51</f>
        <v>2.2663282484711084E-2</v>
      </c>
      <c r="AE408" s="74"/>
      <c r="AF408" s="76"/>
    </row>
    <row r="409" spans="3:32" x14ac:dyDescent="0.25">
      <c r="C409" s="61"/>
      <c r="D409" s="72">
        <v>4</v>
      </c>
      <c r="E409" s="72"/>
      <c r="F409" s="72"/>
      <c r="G409" s="65">
        <f t="shared" si="18"/>
        <v>3.6</v>
      </c>
      <c r="H409" s="66"/>
      <c r="I409" s="67"/>
      <c r="J409" s="73">
        <f>vypocet!BA10</f>
        <v>0.64639455782312905</v>
      </c>
      <c r="K409" s="74"/>
      <c r="L409" s="75"/>
      <c r="M409" s="86"/>
      <c r="N409" s="72">
        <v>4</v>
      </c>
      <c r="O409" s="72"/>
      <c r="P409" s="72"/>
      <c r="Q409" s="65">
        <f t="shared" si="19"/>
        <v>24</v>
      </c>
      <c r="R409" s="66"/>
      <c r="S409" s="67"/>
      <c r="T409" s="73">
        <f>vypocet!BC32</f>
        <v>-6.6776609633752509E-2</v>
      </c>
      <c r="U409" s="74"/>
      <c r="V409" s="75"/>
      <c r="W409" s="86"/>
      <c r="X409" s="72">
        <v>4</v>
      </c>
      <c r="Y409" s="72"/>
      <c r="Z409" s="72"/>
      <c r="AA409" s="65">
        <f t="shared" si="20"/>
        <v>51.599999999999994</v>
      </c>
      <c r="AB409" s="66"/>
      <c r="AC409" s="67"/>
      <c r="AD409" s="73">
        <f>vypocet!BC52</f>
        <v>1.7858860716003604E-2</v>
      </c>
      <c r="AE409" s="74"/>
      <c r="AF409" s="76"/>
    </row>
    <row r="410" spans="3:32" x14ac:dyDescent="0.25">
      <c r="C410" s="61"/>
      <c r="D410" s="72">
        <v>5</v>
      </c>
      <c r="E410" s="72"/>
      <c r="F410" s="72"/>
      <c r="G410" s="65">
        <f t="shared" si="18"/>
        <v>4.5</v>
      </c>
      <c r="H410" s="66"/>
      <c r="I410" s="67"/>
      <c r="J410" s="73">
        <f>vypocet!BA11</f>
        <v>0.65058750773036478</v>
      </c>
      <c r="K410" s="74"/>
      <c r="L410" s="75"/>
      <c r="M410" s="86"/>
      <c r="N410" s="72">
        <v>5</v>
      </c>
      <c r="O410" s="72"/>
      <c r="P410" s="72"/>
      <c r="Q410" s="65">
        <f t="shared" si="19"/>
        <v>25.5</v>
      </c>
      <c r="R410" s="66"/>
      <c r="S410" s="67"/>
      <c r="T410" s="73">
        <f>vypocet!BC33</f>
        <v>-4.4889799354085082E-2</v>
      </c>
      <c r="U410" s="74"/>
      <c r="V410" s="75"/>
      <c r="W410" s="86"/>
      <c r="X410" s="72">
        <v>5</v>
      </c>
      <c r="Y410" s="72"/>
      <c r="Z410" s="72"/>
      <c r="AA410" s="65">
        <f t="shared" si="20"/>
        <v>52.499999999999993</v>
      </c>
      <c r="AB410" s="66"/>
      <c r="AC410" s="67"/>
      <c r="AD410" s="73">
        <f>vypocet!BC53</f>
        <v>1.3345616024187492E-2</v>
      </c>
      <c r="AE410" s="74"/>
      <c r="AF410" s="76"/>
    </row>
    <row r="411" spans="3:32" x14ac:dyDescent="0.25">
      <c r="C411" s="61"/>
      <c r="D411" s="72">
        <v>6</v>
      </c>
      <c r="E411" s="72"/>
      <c r="F411" s="72"/>
      <c r="G411" s="65">
        <f t="shared" si="18"/>
        <v>5.4</v>
      </c>
      <c r="H411" s="66"/>
      <c r="I411" s="67"/>
      <c r="J411" s="73">
        <f>vypocet!BA12</f>
        <v>-0.34428777571634728</v>
      </c>
      <c r="K411" s="74"/>
      <c r="L411" s="75"/>
      <c r="M411" s="86"/>
      <c r="N411" s="72">
        <v>6</v>
      </c>
      <c r="O411" s="72"/>
      <c r="P411" s="72"/>
      <c r="Q411" s="65">
        <f t="shared" si="19"/>
        <v>27</v>
      </c>
      <c r="R411" s="66"/>
      <c r="S411" s="67"/>
      <c r="T411" s="73">
        <f>vypocet!BC34</f>
        <v>-2.5041228612657195E-2</v>
      </c>
      <c r="U411" s="74"/>
      <c r="V411" s="75"/>
      <c r="W411" s="86"/>
      <c r="X411" s="72">
        <v>6</v>
      </c>
      <c r="Y411" s="72"/>
      <c r="Z411" s="72"/>
      <c r="AA411" s="65">
        <f t="shared" si="20"/>
        <v>53.399999999999991</v>
      </c>
      <c r="AB411" s="66"/>
      <c r="AC411" s="67"/>
      <c r="AD411" s="73">
        <f>vypocet!BC54</f>
        <v>9.1235484092627352E-3</v>
      </c>
      <c r="AE411" s="74"/>
      <c r="AF411" s="76"/>
    </row>
    <row r="412" spans="3:32" x14ac:dyDescent="0.25">
      <c r="C412" s="61"/>
      <c r="D412" s="72">
        <v>7</v>
      </c>
      <c r="E412" s="72"/>
      <c r="F412" s="72"/>
      <c r="G412" s="65">
        <f t="shared" si="18"/>
        <v>6.3000000000000007</v>
      </c>
      <c r="H412" s="66"/>
      <c r="I412" s="67"/>
      <c r="J412" s="73">
        <f>vypocet!BA13</f>
        <v>-0.33823129251700695</v>
      </c>
      <c r="K412" s="74"/>
      <c r="L412" s="75"/>
      <c r="M412" s="86"/>
      <c r="N412" s="72">
        <v>7</v>
      </c>
      <c r="O412" s="72"/>
      <c r="P412" s="72"/>
      <c r="Q412" s="65">
        <f t="shared" si="19"/>
        <v>28.5</v>
      </c>
      <c r="R412" s="66"/>
      <c r="S412" s="67"/>
      <c r="T412" s="73">
        <f>vypocet!BC35</f>
        <v>-7.2308974094688512E-3</v>
      </c>
      <c r="U412" s="74"/>
      <c r="V412" s="75"/>
      <c r="W412" s="86"/>
      <c r="X412" s="72">
        <v>7</v>
      </c>
      <c r="Y412" s="72"/>
      <c r="Z412" s="72"/>
      <c r="AA412" s="65">
        <f t="shared" si="20"/>
        <v>54.29999999999999</v>
      </c>
      <c r="AB412" s="66"/>
      <c r="AC412" s="67"/>
      <c r="AD412" s="73">
        <f>vypocet!BC55</f>
        <v>5.1926578712293446E-3</v>
      </c>
      <c r="AE412" s="74"/>
      <c r="AF412" s="76"/>
    </row>
    <row r="413" spans="3:32" x14ac:dyDescent="0.25">
      <c r="C413" s="61"/>
      <c r="D413" s="72">
        <v>8</v>
      </c>
      <c r="E413" s="72"/>
      <c r="F413" s="72"/>
      <c r="G413" s="65">
        <f t="shared" si="18"/>
        <v>7.2000000000000011</v>
      </c>
      <c r="H413" s="66"/>
      <c r="I413" s="67"/>
      <c r="J413" s="73">
        <f>vypocet!BA14</f>
        <v>-0.33124304267161425</v>
      </c>
      <c r="K413" s="74"/>
      <c r="L413" s="75"/>
      <c r="M413" s="86"/>
      <c r="N413" s="72">
        <v>8</v>
      </c>
      <c r="O413" s="72"/>
      <c r="P413" s="72"/>
      <c r="Q413" s="65">
        <f t="shared" si="19"/>
        <v>30</v>
      </c>
      <c r="R413" s="66"/>
      <c r="S413" s="67"/>
      <c r="T413" s="73">
        <f>vypocet!BC36</f>
        <v>8.5411942554799881E-3</v>
      </c>
      <c r="U413" s="74"/>
      <c r="V413" s="75"/>
      <c r="W413" s="86"/>
      <c r="X413" s="72">
        <v>8</v>
      </c>
      <c r="Y413" s="72"/>
      <c r="Z413" s="72"/>
      <c r="AA413" s="65">
        <f t="shared" si="20"/>
        <v>55.199999999999989</v>
      </c>
      <c r="AB413" s="66"/>
      <c r="AC413" s="67"/>
      <c r="AD413" s="73">
        <f>vypocet!BC56</f>
        <v>1.5529444100873078E-3</v>
      </c>
      <c r="AE413" s="74"/>
      <c r="AF413" s="76"/>
    </row>
    <row r="414" spans="3:32" x14ac:dyDescent="0.25">
      <c r="C414" s="61"/>
      <c r="D414" s="72">
        <v>9</v>
      </c>
      <c r="E414" s="72"/>
      <c r="F414" s="72"/>
      <c r="G414" s="65">
        <f t="shared" si="18"/>
        <v>8.1000000000000014</v>
      </c>
      <c r="H414" s="66"/>
      <c r="I414" s="67"/>
      <c r="J414" s="73">
        <f>vypocet!BA15</f>
        <v>-0.32332302618016912</v>
      </c>
      <c r="K414" s="74"/>
      <c r="L414" s="75"/>
      <c r="M414" s="86"/>
      <c r="N414" s="72">
        <v>9</v>
      </c>
      <c r="O414" s="72"/>
      <c r="P414" s="72"/>
      <c r="Q414" s="65">
        <f t="shared" si="19"/>
        <v>31.5</v>
      </c>
      <c r="R414" s="66"/>
      <c r="S414" s="67"/>
      <c r="T414" s="73">
        <f>vypocet!BC37</f>
        <v>2.2275046382189249E-2</v>
      </c>
      <c r="U414" s="74"/>
      <c r="V414" s="75"/>
      <c r="W414" s="86"/>
      <c r="X414" s="72">
        <v>9</v>
      </c>
      <c r="Y414" s="72"/>
      <c r="Z414" s="72"/>
      <c r="AA414" s="65">
        <f t="shared" si="20"/>
        <v>56.099999999999987</v>
      </c>
      <c r="AB414" s="66"/>
      <c r="AC414" s="67"/>
      <c r="AD414" s="73">
        <f>vypocet!BC57</f>
        <v>-1.7955919741633581E-3</v>
      </c>
      <c r="AE414" s="74"/>
      <c r="AF414" s="76"/>
    </row>
    <row r="415" spans="3:32" x14ac:dyDescent="0.25">
      <c r="C415" s="61"/>
      <c r="D415" s="72">
        <v>10</v>
      </c>
      <c r="E415" s="72"/>
      <c r="F415" s="72"/>
      <c r="G415" s="65">
        <f t="shared" si="18"/>
        <v>9.0000000000000018</v>
      </c>
      <c r="H415" s="66"/>
      <c r="I415" s="67"/>
      <c r="J415" s="73">
        <f>vypocet!BA16</f>
        <v>-0.31447124304267171</v>
      </c>
      <c r="K415" s="74"/>
      <c r="L415" s="75"/>
      <c r="M415" s="86"/>
      <c r="N415" s="72">
        <v>10</v>
      </c>
      <c r="O415" s="72"/>
      <c r="P415" s="72"/>
      <c r="Q415" s="65">
        <f t="shared" si="19"/>
        <v>33</v>
      </c>
      <c r="R415" s="66"/>
      <c r="S415" s="67"/>
      <c r="T415" s="73">
        <f>vypocet!BC38</f>
        <v>3.3970658970658985E-2</v>
      </c>
      <c r="U415" s="74"/>
      <c r="V415" s="75"/>
      <c r="W415" s="86"/>
      <c r="X415" s="72">
        <v>10</v>
      </c>
      <c r="Y415" s="72"/>
      <c r="Z415" s="72"/>
      <c r="AA415" s="65">
        <f t="shared" si="20"/>
        <v>56.999999999999986</v>
      </c>
      <c r="AB415" s="66"/>
      <c r="AC415" s="67"/>
      <c r="AD415" s="73">
        <f>vypocet!BC58</f>
        <v>-4.8529512815226605E-3</v>
      </c>
      <c r="AE415" s="74"/>
      <c r="AF415" s="76"/>
    </row>
    <row r="416" spans="3:32" x14ac:dyDescent="0.25">
      <c r="C416" s="61"/>
      <c r="D416" s="72">
        <v>11</v>
      </c>
      <c r="E416" s="72"/>
      <c r="F416" s="72"/>
      <c r="G416" s="65">
        <f t="shared" si="18"/>
        <v>9.9000000000000021</v>
      </c>
      <c r="H416" s="66"/>
      <c r="I416" s="67"/>
      <c r="J416" s="73">
        <f>vypocet!BA17</f>
        <v>-0.30468769325912193</v>
      </c>
      <c r="K416" s="74"/>
      <c r="L416" s="75"/>
      <c r="M416" s="86"/>
      <c r="N416" s="72">
        <v>11</v>
      </c>
      <c r="O416" s="72"/>
      <c r="P416" s="72"/>
      <c r="Q416" s="65">
        <f t="shared" si="19"/>
        <v>34.5</v>
      </c>
      <c r="R416" s="66"/>
      <c r="S416" s="67"/>
      <c r="T416" s="73">
        <f>vypocet!BC39</f>
        <v>4.3628032020889204E-2</v>
      </c>
      <c r="U416" s="74"/>
      <c r="V416" s="75"/>
      <c r="W416" s="86"/>
      <c r="X416" s="72">
        <v>11</v>
      </c>
      <c r="Y416" s="72"/>
      <c r="Z416" s="72"/>
      <c r="AA416" s="65">
        <f t="shared" si="20"/>
        <v>57.899999999999984</v>
      </c>
      <c r="AB416" s="66"/>
      <c r="AC416" s="67"/>
      <c r="AD416" s="73">
        <f>vypocet!BC59</f>
        <v>-7.6191335119906141E-3</v>
      </c>
      <c r="AE416" s="74"/>
      <c r="AF416" s="76"/>
    </row>
    <row r="417" spans="3:32" x14ac:dyDescent="0.25">
      <c r="C417" s="61"/>
      <c r="D417" s="72">
        <v>12</v>
      </c>
      <c r="E417" s="72"/>
      <c r="F417" s="72"/>
      <c r="G417" s="65">
        <f t="shared" si="18"/>
        <v>10.800000000000002</v>
      </c>
      <c r="H417" s="66"/>
      <c r="I417" s="67"/>
      <c r="J417" s="73">
        <f>vypocet!BA18</f>
        <v>-0.29397237682951977</v>
      </c>
      <c r="K417" s="74"/>
      <c r="L417" s="75"/>
      <c r="M417" s="86"/>
      <c r="N417" s="72">
        <v>12</v>
      </c>
      <c r="O417" s="72"/>
      <c r="P417" s="72"/>
      <c r="Q417" s="65">
        <f t="shared" si="19"/>
        <v>36</v>
      </c>
      <c r="R417" s="66"/>
      <c r="S417" s="67"/>
      <c r="T417" s="73">
        <f>vypocet!BC40</f>
        <v>5.1247165532879814E-2</v>
      </c>
      <c r="U417" s="74"/>
      <c r="V417" s="75"/>
      <c r="W417" s="86"/>
      <c r="X417" s="72">
        <v>12</v>
      </c>
      <c r="Y417" s="72"/>
      <c r="Z417" s="72"/>
      <c r="AA417" s="65">
        <f t="shared" si="20"/>
        <v>58.799999999999983</v>
      </c>
      <c r="AB417" s="66"/>
      <c r="AC417" s="67"/>
      <c r="AD417" s="73">
        <f>vypocet!BC60</f>
        <v>-1.0094138665567196E-2</v>
      </c>
      <c r="AE417" s="74"/>
      <c r="AF417" s="76"/>
    </row>
    <row r="418" spans="3:32" x14ac:dyDescent="0.25">
      <c r="C418" s="61"/>
      <c r="D418" s="72">
        <v>13</v>
      </c>
      <c r="E418" s="72"/>
      <c r="F418" s="72"/>
      <c r="G418" s="65">
        <f t="shared" si="18"/>
        <v>11.700000000000003</v>
      </c>
      <c r="H418" s="66"/>
      <c r="I418" s="67"/>
      <c r="J418" s="73">
        <f>vypocet!BA19</f>
        <v>-0.28232529375386523</v>
      </c>
      <c r="K418" s="74"/>
      <c r="L418" s="75"/>
      <c r="M418" s="86"/>
      <c r="N418" s="72">
        <v>13</v>
      </c>
      <c r="O418" s="72"/>
      <c r="P418" s="72"/>
      <c r="Q418" s="65">
        <f t="shared" si="19"/>
        <v>37.5</v>
      </c>
      <c r="R418" s="66"/>
      <c r="S418" s="67"/>
      <c r="T418" s="73">
        <f>vypocet!BC41</f>
        <v>5.682805950663096E-2</v>
      </c>
      <c r="U418" s="74"/>
      <c r="V418" s="75"/>
      <c r="W418" s="86"/>
      <c r="X418" s="72">
        <v>13</v>
      </c>
      <c r="Y418" s="72"/>
      <c r="Z418" s="72"/>
      <c r="AA418" s="65">
        <f t="shared" si="20"/>
        <v>59.699999999999982</v>
      </c>
      <c r="AB418" s="66"/>
      <c r="AC418" s="67"/>
      <c r="AD418" s="73">
        <f>vypocet!BC61</f>
        <v>-1.2277966742252412E-2</v>
      </c>
      <c r="AE418" s="74"/>
      <c r="AF418" s="76"/>
    </row>
    <row r="419" spans="3:32" x14ac:dyDescent="0.25">
      <c r="C419" s="61"/>
      <c r="D419" s="72">
        <v>14</v>
      </c>
      <c r="E419" s="72"/>
      <c r="F419" s="72"/>
      <c r="G419" s="65">
        <f t="shared" si="18"/>
        <v>12.600000000000003</v>
      </c>
      <c r="H419" s="66"/>
      <c r="I419" s="67"/>
      <c r="J419" s="73">
        <f>vypocet!BA20</f>
        <v>-0.26974644403215842</v>
      </c>
      <c r="K419" s="74"/>
      <c r="L419" s="75"/>
      <c r="M419" s="86"/>
      <c r="N419" s="72">
        <v>14</v>
      </c>
      <c r="O419" s="72"/>
      <c r="P419" s="72"/>
      <c r="Q419" s="65">
        <f t="shared" si="19"/>
        <v>39</v>
      </c>
      <c r="R419" s="66"/>
      <c r="S419" s="67"/>
      <c r="T419" s="73">
        <f>vypocet!BC42</f>
        <v>6.0370713942142502E-2</v>
      </c>
      <c r="U419" s="74"/>
      <c r="V419" s="75"/>
      <c r="W419" s="86"/>
      <c r="X419" s="72">
        <v>14</v>
      </c>
      <c r="Y419" s="72"/>
      <c r="Z419" s="72"/>
      <c r="AA419" s="65">
        <f t="shared" si="20"/>
        <v>60.59999999999998</v>
      </c>
      <c r="AB419" s="66"/>
      <c r="AC419" s="67"/>
      <c r="AD419" s="73">
        <f>vypocet!BC62</f>
        <v>-1.4170617742046272E-2</v>
      </c>
      <c r="AE419" s="74"/>
      <c r="AF419" s="76"/>
    </row>
    <row r="420" spans="3:32" x14ac:dyDescent="0.25">
      <c r="C420" s="61"/>
      <c r="D420" s="72">
        <v>15</v>
      </c>
      <c r="E420" s="72"/>
      <c r="F420" s="72"/>
      <c r="G420" s="65">
        <f t="shared" si="18"/>
        <v>13.500000000000004</v>
      </c>
      <c r="H420" s="66"/>
      <c r="I420" s="67"/>
      <c r="J420" s="73">
        <f>vypocet!BA21</f>
        <v>-0.25623582766439917</v>
      </c>
      <c r="K420" s="74"/>
      <c r="L420" s="75"/>
      <c r="M420" s="86"/>
      <c r="N420" s="72">
        <v>15</v>
      </c>
      <c r="O420" s="72"/>
      <c r="P420" s="72"/>
      <c r="Q420" s="65">
        <f t="shared" si="19"/>
        <v>40.5</v>
      </c>
      <c r="R420" s="66"/>
      <c r="S420" s="67"/>
      <c r="T420" s="73">
        <f>vypocet!BC43</f>
        <v>6.1875128839414567E-2</v>
      </c>
      <c r="U420" s="74"/>
      <c r="V420" s="75"/>
      <c r="W420" s="86"/>
      <c r="X420" s="72">
        <v>15</v>
      </c>
      <c r="Y420" s="72"/>
      <c r="Z420" s="72"/>
      <c r="AA420" s="65">
        <f t="shared" si="20"/>
        <v>61.499999999999979</v>
      </c>
      <c r="AB420" s="66"/>
      <c r="AC420" s="67"/>
      <c r="AD420" s="73">
        <f>vypocet!BC63</f>
        <v>-1.5772091664948775E-2</v>
      </c>
      <c r="AE420" s="74"/>
      <c r="AF420" s="76"/>
    </row>
    <row r="421" spans="3:32" x14ac:dyDescent="0.25">
      <c r="C421" s="61"/>
      <c r="D421" s="72">
        <v>16</v>
      </c>
      <c r="E421" s="72"/>
      <c r="F421" s="72"/>
      <c r="G421" s="65">
        <f t="shared" si="18"/>
        <v>14.400000000000004</v>
      </c>
      <c r="H421" s="66"/>
      <c r="I421" s="67"/>
      <c r="J421" s="73">
        <f>vypocet!BA22</f>
        <v>-0.24179344465058755</v>
      </c>
      <c r="K421" s="74"/>
      <c r="L421" s="75"/>
      <c r="M421" s="86"/>
      <c r="N421" s="72">
        <v>16</v>
      </c>
      <c r="O421" s="72"/>
      <c r="P421" s="72"/>
      <c r="Q421" s="65">
        <f t="shared" si="19"/>
        <v>42</v>
      </c>
      <c r="R421" s="66"/>
      <c r="S421" s="67"/>
      <c r="T421" s="73">
        <f>vypocet!BC44</f>
        <v>6.1341304198447098E-2</v>
      </c>
      <c r="U421" s="74"/>
      <c r="V421" s="75"/>
      <c r="W421" s="86"/>
      <c r="X421" s="72">
        <v>16</v>
      </c>
      <c r="Y421" s="72"/>
      <c r="Z421" s="72"/>
      <c r="AA421" s="65">
        <f t="shared" si="20"/>
        <v>62.399999999999977</v>
      </c>
      <c r="AB421" s="66"/>
      <c r="AC421" s="67"/>
      <c r="AD421" s="73">
        <f>vypocet!BC64</f>
        <v>-1.7082388510959921E-2</v>
      </c>
      <c r="AE421" s="74"/>
      <c r="AF421" s="76"/>
    </row>
    <row r="422" spans="3:32" x14ac:dyDescent="0.25">
      <c r="C422" s="61"/>
      <c r="D422" s="72">
        <v>17</v>
      </c>
      <c r="E422" s="72"/>
      <c r="F422" s="72"/>
      <c r="G422" s="65">
        <f t="shared" si="18"/>
        <v>15.300000000000004</v>
      </c>
      <c r="H422" s="66"/>
      <c r="I422" s="67"/>
      <c r="J422" s="73">
        <f>vypocet!BA23</f>
        <v>-0.22641929499072355</v>
      </c>
      <c r="K422" s="74"/>
      <c r="L422" s="75"/>
      <c r="M422" s="86"/>
      <c r="N422" s="72">
        <v>17</v>
      </c>
      <c r="O422" s="72"/>
      <c r="P422" s="72"/>
      <c r="Q422" s="65">
        <f t="shared" si="19"/>
        <v>43.5</v>
      </c>
      <c r="R422" s="66"/>
      <c r="S422" s="67"/>
      <c r="T422" s="73">
        <f>vypocet!BC45</f>
        <v>5.876924001924002E-2</v>
      </c>
      <c r="U422" s="74"/>
      <c r="V422" s="75"/>
      <c r="W422" s="86"/>
      <c r="X422" s="72">
        <v>17</v>
      </c>
      <c r="Y422" s="72"/>
      <c r="Z422" s="72"/>
      <c r="AA422" s="65">
        <f t="shared" si="20"/>
        <v>63.299999999999976</v>
      </c>
      <c r="AB422" s="66"/>
      <c r="AC422" s="67"/>
      <c r="AD422" s="73">
        <f>vypocet!BC65</f>
        <v>-1.810150828007968E-2</v>
      </c>
      <c r="AE422" s="74"/>
      <c r="AF422" s="76"/>
    </row>
    <row r="423" spans="3:32" x14ac:dyDescent="0.25">
      <c r="C423" s="61"/>
      <c r="D423" s="72">
        <v>18</v>
      </c>
      <c r="E423" s="72"/>
      <c r="F423" s="72"/>
      <c r="G423" s="65">
        <f t="shared" si="18"/>
        <v>16.200000000000003</v>
      </c>
      <c r="H423" s="66"/>
      <c r="I423" s="67"/>
      <c r="J423" s="73">
        <f>vypocet!BA24</f>
        <v>-0.21011337868480726</v>
      </c>
      <c r="K423" s="74"/>
      <c r="L423" s="75"/>
      <c r="M423" s="86"/>
      <c r="N423" s="72">
        <v>18</v>
      </c>
      <c r="O423" s="72"/>
      <c r="P423" s="72"/>
      <c r="Q423" s="65">
        <f t="shared" si="19"/>
        <v>45</v>
      </c>
      <c r="R423" s="66"/>
      <c r="S423" s="67"/>
      <c r="T423" s="73">
        <f>vypocet!BC46</f>
        <v>5.4158936301793456E-2</v>
      </c>
      <c r="U423" s="74"/>
      <c r="V423" s="75"/>
      <c r="W423" s="86"/>
      <c r="X423" s="72">
        <v>18</v>
      </c>
      <c r="Y423" s="72"/>
      <c r="Z423" s="72"/>
      <c r="AA423" s="65">
        <f t="shared" si="20"/>
        <v>64.199999999999974</v>
      </c>
      <c r="AB423" s="66"/>
      <c r="AC423" s="67"/>
      <c r="AD423" s="73">
        <f>vypocet!BC66</f>
        <v>-1.8829450972308103E-2</v>
      </c>
      <c r="AE423" s="74"/>
      <c r="AF423" s="76"/>
    </row>
    <row r="424" spans="3:32" x14ac:dyDescent="0.25">
      <c r="C424" s="61"/>
      <c r="D424" s="72">
        <v>19</v>
      </c>
      <c r="E424" s="72"/>
      <c r="F424" s="72"/>
      <c r="G424" s="65">
        <f t="shared" si="18"/>
        <v>17.100000000000001</v>
      </c>
      <c r="H424" s="66"/>
      <c r="I424" s="67"/>
      <c r="J424" s="73">
        <f>vypocet!BA25</f>
        <v>-0.19287569573283872</v>
      </c>
      <c r="K424" s="74"/>
      <c r="L424" s="75"/>
      <c r="M424" s="86"/>
      <c r="N424" s="72">
        <v>19</v>
      </c>
      <c r="O424" s="72"/>
      <c r="P424" s="72"/>
      <c r="Q424" s="65">
        <f t="shared" si="19"/>
        <v>46.5</v>
      </c>
      <c r="R424" s="66"/>
      <c r="S424" s="67"/>
      <c r="T424" s="73">
        <f>vypocet!BC47</f>
        <v>4.7510393046107303E-2</v>
      </c>
      <c r="U424" s="74"/>
      <c r="V424" s="75"/>
      <c r="W424" s="86"/>
      <c r="X424" s="72">
        <v>19</v>
      </c>
      <c r="Y424" s="72"/>
      <c r="Z424" s="72"/>
      <c r="AA424" s="65">
        <f t="shared" si="20"/>
        <v>65.09999999999998</v>
      </c>
      <c r="AB424" s="66"/>
      <c r="AC424" s="67"/>
      <c r="AD424" s="73">
        <f>vypocet!BC67</f>
        <v>-1.9266216587645147E-2</v>
      </c>
      <c r="AE424" s="74"/>
      <c r="AF424" s="76"/>
    </row>
    <row r="425" spans="3:32" ht="13.8" thickBot="1" x14ac:dyDescent="0.3">
      <c r="C425" s="135"/>
      <c r="D425" s="50">
        <v>20</v>
      </c>
      <c r="E425" s="50"/>
      <c r="F425" s="50"/>
      <c r="G425" s="126">
        <f t="shared" si="18"/>
        <v>18</v>
      </c>
      <c r="H425" s="127"/>
      <c r="I425" s="128"/>
      <c r="J425" s="129">
        <f>vypocet!BA26</f>
        <v>-0.17470624613481767</v>
      </c>
      <c r="K425" s="130"/>
      <c r="L425" s="131"/>
      <c r="M425" s="125"/>
      <c r="N425" s="50">
        <v>20</v>
      </c>
      <c r="O425" s="50"/>
      <c r="P425" s="50"/>
      <c r="Q425" s="126">
        <f t="shared" si="19"/>
        <v>48</v>
      </c>
      <c r="R425" s="127"/>
      <c r="S425" s="128"/>
      <c r="T425" s="129">
        <f>vypocet!BC48</f>
        <v>3.8823610252181687E-2</v>
      </c>
      <c r="U425" s="130"/>
      <c r="V425" s="131"/>
      <c r="W425" s="125"/>
      <c r="X425" s="50">
        <v>20</v>
      </c>
      <c r="Y425" s="50"/>
      <c r="Z425" s="50"/>
      <c r="AA425" s="126">
        <f t="shared" si="20"/>
        <v>65.999999999999986</v>
      </c>
      <c r="AB425" s="127"/>
      <c r="AC425" s="128"/>
      <c r="AD425" s="129">
        <f>vypocet!BC68</f>
        <v>-1.941180512609085E-2</v>
      </c>
      <c r="AE425" s="130"/>
      <c r="AF425" s="134"/>
    </row>
    <row r="428" spans="3:32" x14ac:dyDescent="0.25">
      <c r="C428" s="10" t="s">
        <v>85</v>
      </c>
    </row>
    <row r="446" spans="2:6" ht="17.399999999999999" x14ac:dyDescent="0.3">
      <c r="B446" s="6" t="s">
        <v>76</v>
      </c>
      <c r="F446" t="s">
        <v>80</v>
      </c>
    </row>
    <row r="449" spans="3:32" ht="16.8" thickBot="1" x14ac:dyDescent="0.4">
      <c r="C449" s="5" t="s">
        <v>75</v>
      </c>
    </row>
    <row r="450" spans="3:32" x14ac:dyDescent="0.25">
      <c r="C450" s="91" t="s">
        <v>16</v>
      </c>
      <c r="D450" s="92"/>
      <c r="E450" s="92"/>
      <c r="F450" s="93"/>
      <c r="G450" s="97" t="s">
        <v>17</v>
      </c>
      <c r="H450" s="92"/>
      <c r="I450" s="93"/>
      <c r="J450" s="121" t="s">
        <v>78</v>
      </c>
      <c r="K450" s="92"/>
      <c r="L450" s="122"/>
      <c r="M450" s="100" t="s">
        <v>16</v>
      </c>
      <c r="N450" s="92"/>
      <c r="O450" s="92"/>
      <c r="P450" s="93"/>
      <c r="Q450" s="97" t="s">
        <v>17</v>
      </c>
      <c r="R450" s="92"/>
      <c r="S450" s="93"/>
      <c r="T450" s="121" t="s">
        <v>78</v>
      </c>
      <c r="U450" s="92"/>
      <c r="V450" s="122"/>
      <c r="W450" s="100" t="s">
        <v>16</v>
      </c>
      <c r="X450" s="92"/>
      <c r="Y450" s="92"/>
      <c r="Z450" s="93"/>
      <c r="AA450" s="97" t="s">
        <v>17</v>
      </c>
      <c r="AB450" s="92"/>
      <c r="AC450" s="93"/>
      <c r="AD450" s="121" t="s">
        <v>78</v>
      </c>
      <c r="AE450" s="92"/>
      <c r="AF450" s="99"/>
    </row>
    <row r="451" spans="3:32" ht="13.8" thickBot="1" x14ac:dyDescent="0.3">
      <c r="C451" s="94"/>
      <c r="D451" s="95"/>
      <c r="E451" s="95"/>
      <c r="F451" s="96"/>
      <c r="G451" s="102" t="s">
        <v>18</v>
      </c>
      <c r="H451" s="95"/>
      <c r="I451" s="96"/>
      <c r="J451" s="102" t="s">
        <v>58</v>
      </c>
      <c r="K451" s="95"/>
      <c r="L451" s="103"/>
      <c r="M451" s="101"/>
      <c r="N451" s="95"/>
      <c r="O451" s="95"/>
      <c r="P451" s="96"/>
      <c r="Q451" s="102" t="s">
        <v>18</v>
      </c>
      <c r="R451" s="95"/>
      <c r="S451" s="96"/>
      <c r="T451" s="95" t="s">
        <v>58</v>
      </c>
      <c r="U451" s="95"/>
      <c r="V451" s="95"/>
      <c r="W451" s="101"/>
      <c r="X451" s="95"/>
      <c r="Y451" s="95"/>
      <c r="Z451" s="96"/>
      <c r="AA451" s="102" t="s">
        <v>18</v>
      </c>
      <c r="AB451" s="95"/>
      <c r="AC451" s="96"/>
      <c r="AD451" s="95" t="s">
        <v>58</v>
      </c>
      <c r="AE451" s="95"/>
      <c r="AF451" s="104"/>
    </row>
    <row r="452" spans="3:32" ht="13.8" thickTop="1" x14ac:dyDescent="0.25">
      <c r="C452" s="60" t="s">
        <v>19</v>
      </c>
      <c r="D452" s="63">
        <v>0</v>
      </c>
      <c r="E452" s="63"/>
      <c r="F452" s="64"/>
      <c r="G452" s="65">
        <f>G405</f>
        <v>0</v>
      </c>
      <c r="H452" s="66"/>
      <c r="I452" s="67"/>
      <c r="J452" s="68">
        <f>vypocet!AU6</f>
        <v>-0.41666666666666669</v>
      </c>
      <c r="K452" s="69"/>
      <c r="L452" s="70"/>
      <c r="M452" s="85" t="s">
        <v>20</v>
      </c>
      <c r="N452" s="63">
        <v>0</v>
      </c>
      <c r="O452" s="63"/>
      <c r="P452" s="64"/>
      <c r="Q452" s="65">
        <f>Q405</f>
        <v>18</v>
      </c>
      <c r="R452" s="66"/>
      <c r="S452" s="67"/>
      <c r="T452" s="68">
        <f>vypocet!AT26</f>
        <v>-0.58441558441558439</v>
      </c>
      <c r="U452" s="69"/>
      <c r="V452" s="70"/>
      <c r="W452" s="85" t="s">
        <v>22</v>
      </c>
      <c r="X452" s="63">
        <v>0</v>
      </c>
      <c r="Y452" s="63"/>
      <c r="Z452" s="64"/>
      <c r="AA452" s="65">
        <f>AA405</f>
        <v>48</v>
      </c>
      <c r="AB452" s="66"/>
      <c r="AC452" s="67"/>
      <c r="AD452" s="68">
        <f>vypocet!AT46</f>
        <v>0.12987012987012986</v>
      </c>
      <c r="AE452" s="69"/>
      <c r="AF452" s="71"/>
    </row>
    <row r="453" spans="3:32" x14ac:dyDescent="0.25">
      <c r="C453" s="61"/>
      <c r="D453" s="72">
        <v>1</v>
      </c>
      <c r="E453" s="72"/>
      <c r="F453" s="72"/>
      <c r="G453" s="65">
        <f>G406</f>
        <v>0.9</v>
      </c>
      <c r="H453" s="66"/>
      <c r="I453" s="67"/>
      <c r="J453" s="73">
        <f>vypocet!AU7</f>
        <v>-0.41354166666666664</v>
      </c>
      <c r="K453" s="74"/>
      <c r="L453" s="75"/>
      <c r="M453" s="86"/>
      <c r="N453" s="72">
        <v>1</v>
      </c>
      <c r="O453" s="72"/>
      <c r="P453" s="72"/>
      <c r="Q453" s="65">
        <f>Q406</f>
        <v>19.5</v>
      </c>
      <c r="R453" s="66"/>
      <c r="S453" s="67"/>
      <c r="T453" s="73">
        <f>vypocet!AT27</f>
        <v>-0.48392857142857149</v>
      </c>
      <c r="U453" s="74"/>
      <c r="V453" s="75"/>
      <c r="W453" s="86"/>
      <c r="X453" s="72">
        <v>1</v>
      </c>
      <c r="Y453" s="72"/>
      <c r="Z453" s="72"/>
      <c r="AA453" s="65">
        <f>AA406</f>
        <v>48.9</v>
      </c>
      <c r="AB453" s="66"/>
      <c r="AC453" s="67"/>
      <c r="AD453" s="73">
        <f>vypocet!AT47</f>
        <v>0.11087662337662339</v>
      </c>
      <c r="AE453" s="74"/>
      <c r="AF453" s="76"/>
    </row>
    <row r="454" spans="3:32" x14ac:dyDescent="0.25">
      <c r="C454" s="61"/>
      <c r="D454" s="72">
        <v>2</v>
      </c>
      <c r="E454" s="72"/>
      <c r="F454" s="72"/>
      <c r="G454" s="65">
        <f t="shared" ref="G454:G472" si="21">G407</f>
        <v>1.8</v>
      </c>
      <c r="H454" s="66"/>
      <c r="I454" s="67"/>
      <c r="J454" s="73">
        <f>vypocet!AU8</f>
        <v>-0.40416666666666662</v>
      </c>
      <c r="K454" s="74"/>
      <c r="L454" s="75"/>
      <c r="M454" s="86"/>
      <c r="N454" s="72">
        <v>2</v>
      </c>
      <c r="O454" s="72"/>
      <c r="P454" s="72"/>
      <c r="Q454" s="65">
        <f t="shared" ref="Q454:Q472" si="22">Q407</f>
        <v>21</v>
      </c>
      <c r="R454" s="66"/>
      <c r="S454" s="67"/>
      <c r="T454" s="73">
        <f>vypocet!AT28</f>
        <v>-0.3902597402597402</v>
      </c>
      <c r="U454" s="74"/>
      <c r="V454" s="75"/>
      <c r="W454" s="86"/>
      <c r="X454" s="72">
        <v>2</v>
      </c>
      <c r="Y454" s="72"/>
      <c r="Z454" s="72"/>
      <c r="AA454" s="65">
        <f t="shared" ref="AA454:AA472" si="23">AA407</f>
        <v>49.8</v>
      </c>
      <c r="AB454" s="66"/>
      <c r="AC454" s="67"/>
      <c r="AD454" s="73">
        <f>vypocet!AT48</f>
        <v>9.2857142857142888E-2</v>
      </c>
      <c r="AE454" s="74"/>
      <c r="AF454" s="76"/>
    </row>
    <row r="455" spans="3:32" x14ac:dyDescent="0.25">
      <c r="C455" s="61"/>
      <c r="D455" s="72">
        <v>3</v>
      </c>
      <c r="E455" s="72"/>
      <c r="F455" s="72"/>
      <c r="G455" s="65">
        <f t="shared" si="21"/>
        <v>2.7</v>
      </c>
      <c r="H455" s="66"/>
      <c r="I455" s="67"/>
      <c r="J455" s="73">
        <f>vypocet!AU9</f>
        <v>-0.38854166666666662</v>
      </c>
      <c r="K455" s="74"/>
      <c r="L455" s="75"/>
      <c r="M455" s="86"/>
      <c r="N455" s="72">
        <v>3</v>
      </c>
      <c r="O455" s="72"/>
      <c r="P455" s="72"/>
      <c r="Q455" s="65">
        <f t="shared" si="22"/>
        <v>22.5</v>
      </c>
      <c r="R455" s="66"/>
      <c r="S455" s="67"/>
      <c r="T455" s="73">
        <f>vypocet!AT29</f>
        <v>-0.30340909090909091</v>
      </c>
      <c r="U455" s="74"/>
      <c r="V455" s="75"/>
      <c r="W455" s="86"/>
      <c r="X455" s="72">
        <v>3</v>
      </c>
      <c r="Y455" s="72"/>
      <c r="Z455" s="72"/>
      <c r="AA455" s="65">
        <f t="shared" si="23"/>
        <v>50.699999999999996</v>
      </c>
      <c r="AB455" s="66"/>
      <c r="AC455" s="67"/>
      <c r="AD455" s="73">
        <f>vypocet!AT49</f>
        <v>7.5811688311688386E-2</v>
      </c>
      <c r="AE455" s="74"/>
      <c r="AF455" s="76"/>
    </row>
    <row r="456" spans="3:32" x14ac:dyDescent="0.25">
      <c r="C456" s="61"/>
      <c r="D456" s="72">
        <v>4</v>
      </c>
      <c r="E456" s="72"/>
      <c r="F456" s="72"/>
      <c r="G456" s="65">
        <f t="shared" si="21"/>
        <v>3.6</v>
      </c>
      <c r="H456" s="66"/>
      <c r="I456" s="67"/>
      <c r="J456" s="73">
        <f>vypocet!AU10</f>
        <v>-0.3666666666666667</v>
      </c>
      <c r="K456" s="74"/>
      <c r="L456" s="75"/>
      <c r="M456" s="86"/>
      <c r="N456" s="72">
        <v>4</v>
      </c>
      <c r="O456" s="72"/>
      <c r="P456" s="72"/>
      <c r="Q456" s="65">
        <f t="shared" si="22"/>
        <v>24</v>
      </c>
      <c r="R456" s="66"/>
      <c r="S456" s="67"/>
      <c r="T456" s="73">
        <f>vypocet!AT30</f>
        <v>-0.22337662337662337</v>
      </c>
      <c r="U456" s="74"/>
      <c r="V456" s="75"/>
      <c r="W456" s="86"/>
      <c r="X456" s="72">
        <v>4</v>
      </c>
      <c r="Y456" s="72"/>
      <c r="Z456" s="72"/>
      <c r="AA456" s="65">
        <f t="shared" si="23"/>
        <v>51.599999999999994</v>
      </c>
      <c r="AB456" s="66"/>
      <c r="AC456" s="67"/>
      <c r="AD456" s="73">
        <f>vypocet!AT50</f>
        <v>5.974025974025983E-2</v>
      </c>
      <c r="AE456" s="74"/>
      <c r="AF456" s="76"/>
    </row>
    <row r="457" spans="3:32" x14ac:dyDescent="0.25">
      <c r="C457" s="61"/>
      <c r="D457" s="72">
        <v>5</v>
      </c>
      <c r="E457" s="72"/>
      <c r="F457" s="72"/>
      <c r="G457" s="65">
        <f t="shared" si="21"/>
        <v>4.5</v>
      </c>
      <c r="H457" s="66"/>
      <c r="I457" s="67"/>
      <c r="J457" s="73">
        <f>vypocet!AU11</f>
        <v>-0.33854166666666669</v>
      </c>
      <c r="K457" s="74"/>
      <c r="L457" s="75"/>
      <c r="M457" s="86"/>
      <c r="N457" s="72">
        <v>5</v>
      </c>
      <c r="O457" s="72"/>
      <c r="P457" s="72"/>
      <c r="Q457" s="65">
        <f t="shared" si="22"/>
        <v>25.5</v>
      </c>
      <c r="R457" s="66"/>
      <c r="S457" s="67"/>
      <c r="T457" s="73">
        <f>vypocet!AT31</f>
        <v>-0.15016233766233766</v>
      </c>
      <c r="U457" s="74"/>
      <c r="V457" s="75"/>
      <c r="W457" s="86"/>
      <c r="X457" s="72">
        <v>5</v>
      </c>
      <c r="Y457" s="72"/>
      <c r="Z457" s="72"/>
      <c r="AA457" s="65">
        <f t="shared" si="23"/>
        <v>52.499999999999993</v>
      </c>
      <c r="AB457" s="66"/>
      <c r="AC457" s="67"/>
      <c r="AD457" s="73">
        <f>vypocet!AT51</f>
        <v>4.4642857142857262E-2</v>
      </c>
      <c r="AE457" s="74"/>
      <c r="AF457" s="76"/>
    </row>
    <row r="458" spans="3:32" x14ac:dyDescent="0.25">
      <c r="C458" s="61"/>
      <c r="D458" s="72">
        <v>6</v>
      </c>
      <c r="E458" s="72"/>
      <c r="F458" s="72"/>
      <c r="G458" s="65">
        <f t="shared" si="21"/>
        <v>5.4</v>
      </c>
      <c r="H458" s="66"/>
      <c r="I458" s="67"/>
      <c r="J458" s="73">
        <f>vypocet!AU12</f>
        <v>-0.30416666666666653</v>
      </c>
      <c r="K458" s="74"/>
      <c r="L458" s="75"/>
      <c r="M458" s="86"/>
      <c r="N458" s="72">
        <v>6</v>
      </c>
      <c r="O458" s="72"/>
      <c r="P458" s="72"/>
      <c r="Q458" s="65">
        <f t="shared" si="22"/>
        <v>27</v>
      </c>
      <c r="R458" s="66"/>
      <c r="S458" s="67"/>
      <c r="T458" s="73">
        <f>vypocet!AT32</f>
        <v>-8.376623376623378E-2</v>
      </c>
      <c r="U458" s="74"/>
      <c r="V458" s="75"/>
      <c r="W458" s="86"/>
      <c r="X458" s="72">
        <v>6</v>
      </c>
      <c r="Y458" s="72"/>
      <c r="Z458" s="72"/>
      <c r="AA458" s="65">
        <f t="shared" si="23"/>
        <v>53.399999999999991</v>
      </c>
      <c r="AB458" s="66"/>
      <c r="AC458" s="67"/>
      <c r="AD458" s="73">
        <f>vypocet!AT52</f>
        <v>3.0519480519480644E-2</v>
      </c>
      <c r="AE458" s="74"/>
      <c r="AF458" s="76"/>
    </row>
    <row r="459" spans="3:32" x14ac:dyDescent="0.25">
      <c r="C459" s="61"/>
      <c r="D459" s="72">
        <v>7</v>
      </c>
      <c r="E459" s="72"/>
      <c r="F459" s="72"/>
      <c r="G459" s="65">
        <f t="shared" si="21"/>
        <v>6.3000000000000007</v>
      </c>
      <c r="H459" s="66"/>
      <c r="I459" s="67"/>
      <c r="J459" s="73">
        <f>vypocet!AU13</f>
        <v>-0.26354166666666651</v>
      </c>
      <c r="K459" s="74"/>
      <c r="L459" s="75"/>
      <c r="M459" s="86"/>
      <c r="N459" s="72">
        <v>7</v>
      </c>
      <c r="O459" s="72"/>
      <c r="P459" s="72"/>
      <c r="Q459" s="65">
        <f t="shared" si="22"/>
        <v>28.5</v>
      </c>
      <c r="R459" s="66"/>
      <c r="S459" s="67"/>
      <c r="T459" s="73">
        <f>vypocet!AT33</f>
        <v>-2.4188311688311724E-2</v>
      </c>
      <c r="U459" s="74"/>
      <c r="V459" s="75"/>
      <c r="W459" s="86"/>
      <c r="X459" s="72">
        <v>7</v>
      </c>
      <c r="Y459" s="72"/>
      <c r="Z459" s="72"/>
      <c r="AA459" s="65">
        <f t="shared" si="23"/>
        <v>54.29999999999999</v>
      </c>
      <c r="AB459" s="66"/>
      <c r="AC459" s="67"/>
      <c r="AD459" s="73">
        <f>vypocet!AT53</f>
        <v>1.7370129870130015E-2</v>
      </c>
      <c r="AE459" s="74"/>
      <c r="AF459" s="76"/>
    </row>
    <row r="460" spans="3:32" x14ac:dyDescent="0.25">
      <c r="C460" s="61"/>
      <c r="D460" s="72">
        <v>8</v>
      </c>
      <c r="E460" s="72"/>
      <c r="F460" s="72"/>
      <c r="G460" s="65">
        <f t="shared" si="21"/>
        <v>7.2000000000000011</v>
      </c>
      <c r="H460" s="66"/>
      <c r="I460" s="67"/>
      <c r="J460" s="73">
        <f>vypocet!AU14</f>
        <v>-0.21666666666666662</v>
      </c>
      <c r="K460" s="74"/>
      <c r="L460" s="75"/>
      <c r="M460" s="86"/>
      <c r="N460" s="72">
        <v>8</v>
      </c>
      <c r="O460" s="72"/>
      <c r="P460" s="72"/>
      <c r="Q460" s="65">
        <f t="shared" si="22"/>
        <v>30</v>
      </c>
      <c r="R460" s="66"/>
      <c r="S460" s="67"/>
      <c r="T460" s="73">
        <f>vypocet!AT34</f>
        <v>2.8571428571428626E-2</v>
      </c>
      <c r="U460" s="74"/>
      <c r="V460" s="75"/>
      <c r="W460" s="86"/>
      <c r="X460" s="72">
        <v>8</v>
      </c>
      <c r="Y460" s="72"/>
      <c r="Z460" s="72"/>
      <c r="AA460" s="65">
        <f t="shared" si="23"/>
        <v>55.199999999999989</v>
      </c>
      <c r="AB460" s="66"/>
      <c r="AC460" s="67"/>
      <c r="AD460" s="73">
        <f>vypocet!AT54</f>
        <v>5.1948051948053284E-3</v>
      </c>
      <c r="AE460" s="74"/>
      <c r="AF460" s="76"/>
    </row>
    <row r="461" spans="3:32" x14ac:dyDescent="0.25">
      <c r="C461" s="61"/>
      <c r="D461" s="72">
        <v>9</v>
      </c>
      <c r="E461" s="72"/>
      <c r="F461" s="72"/>
      <c r="G461" s="65">
        <f t="shared" si="21"/>
        <v>8.1000000000000014</v>
      </c>
      <c r="H461" s="66"/>
      <c r="I461" s="67"/>
      <c r="J461" s="73">
        <f>vypocet!AU15</f>
        <v>-0.16354166666666653</v>
      </c>
      <c r="K461" s="74"/>
      <c r="L461" s="75"/>
      <c r="M461" s="86"/>
      <c r="N461" s="72">
        <v>9</v>
      </c>
      <c r="O461" s="72"/>
      <c r="P461" s="72"/>
      <c r="Q461" s="65">
        <f t="shared" si="22"/>
        <v>31.5</v>
      </c>
      <c r="R461" s="66"/>
      <c r="S461" s="67"/>
      <c r="T461" s="73">
        <f>vypocet!AT35</f>
        <v>7.4512987012987031E-2</v>
      </c>
      <c r="U461" s="74"/>
      <c r="V461" s="75"/>
      <c r="W461" s="86"/>
      <c r="X461" s="72">
        <v>9</v>
      </c>
      <c r="Y461" s="72"/>
      <c r="Z461" s="72"/>
      <c r="AA461" s="65">
        <f t="shared" si="23"/>
        <v>56.099999999999987</v>
      </c>
      <c r="AB461" s="66"/>
      <c r="AC461" s="67"/>
      <c r="AD461" s="73">
        <f>vypocet!AT55</f>
        <v>-6.0064935064933558E-3</v>
      </c>
      <c r="AE461" s="74"/>
      <c r="AF461" s="76"/>
    </row>
    <row r="462" spans="3:32" x14ac:dyDescent="0.25">
      <c r="C462" s="61"/>
      <c r="D462" s="72">
        <v>10</v>
      </c>
      <c r="E462" s="72"/>
      <c r="F462" s="72"/>
      <c r="G462" s="65">
        <f t="shared" si="21"/>
        <v>9.0000000000000018</v>
      </c>
      <c r="H462" s="66"/>
      <c r="I462" s="67"/>
      <c r="J462" s="73">
        <f>vypocet!AU16</f>
        <v>-0.10416666666666642</v>
      </c>
      <c r="K462" s="74"/>
      <c r="L462" s="75"/>
      <c r="M462" s="86"/>
      <c r="N462" s="72">
        <v>10</v>
      </c>
      <c r="O462" s="72"/>
      <c r="P462" s="72"/>
      <c r="Q462" s="65">
        <f t="shared" si="22"/>
        <v>33</v>
      </c>
      <c r="R462" s="66"/>
      <c r="S462" s="67"/>
      <c r="T462" s="73">
        <f>vypocet!AT36</f>
        <v>0.11363636363636365</v>
      </c>
      <c r="U462" s="74"/>
      <c r="V462" s="75"/>
      <c r="W462" s="86"/>
      <c r="X462" s="72">
        <v>10</v>
      </c>
      <c r="Y462" s="72"/>
      <c r="Z462" s="72"/>
      <c r="AA462" s="65">
        <f t="shared" si="23"/>
        <v>56.999999999999986</v>
      </c>
      <c r="AB462" s="66"/>
      <c r="AC462" s="67"/>
      <c r="AD462" s="73">
        <f>vypocet!AT56</f>
        <v>-1.6233766233766066E-2</v>
      </c>
      <c r="AE462" s="74"/>
      <c r="AF462" s="76"/>
    </row>
    <row r="463" spans="3:32" x14ac:dyDescent="0.25">
      <c r="C463" s="61"/>
      <c r="D463" s="72">
        <v>11</v>
      </c>
      <c r="E463" s="72"/>
      <c r="F463" s="72"/>
      <c r="G463" s="65">
        <f t="shared" si="21"/>
        <v>9.9000000000000021</v>
      </c>
      <c r="H463" s="66"/>
      <c r="I463" s="67"/>
      <c r="J463" s="73">
        <f>vypocet!AU17</f>
        <v>-3.8541666666666481E-2</v>
      </c>
      <c r="K463" s="74"/>
      <c r="L463" s="75"/>
      <c r="M463" s="86"/>
      <c r="N463" s="72">
        <v>11</v>
      </c>
      <c r="O463" s="72"/>
      <c r="P463" s="72"/>
      <c r="Q463" s="65">
        <f t="shared" si="22"/>
        <v>34.5</v>
      </c>
      <c r="R463" s="66"/>
      <c r="S463" s="67"/>
      <c r="T463" s="73">
        <f>vypocet!AT37</f>
        <v>0.14594155844155854</v>
      </c>
      <c r="U463" s="74"/>
      <c r="V463" s="75"/>
      <c r="W463" s="86"/>
      <c r="X463" s="72">
        <v>11</v>
      </c>
      <c r="Y463" s="72"/>
      <c r="Z463" s="72"/>
      <c r="AA463" s="65">
        <f t="shared" si="23"/>
        <v>57.899999999999984</v>
      </c>
      <c r="AB463" s="66"/>
      <c r="AC463" s="67"/>
      <c r="AD463" s="73">
        <f>vypocet!AT57</f>
        <v>-2.5487012987012843E-2</v>
      </c>
      <c r="AE463" s="74"/>
      <c r="AF463" s="76"/>
    </row>
    <row r="464" spans="3:32" x14ac:dyDescent="0.25">
      <c r="C464" s="61"/>
      <c r="D464" s="72">
        <v>12</v>
      </c>
      <c r="E464" s="72"/>
      <c r="F464" s="72"/>
      <c r="G464" s="65">
        <f t="shared" si="21"/>
        <v>10.800000000000002</v>
      </c>
      <c r="H464" s="66"/>
      <c r="I464" s="67"/>
      <c r="J464" s="73">
        <f>vypocet!AU18</f>
        <v>3.3333333333333576E-2</v>
      </c>
      <c r="K464" s="74"/>
      <c r="L464" s="75"/>
      <c r="M464" s="86"/>
      <c r="N464" s="72">
        <v>12</v>
      </c>
      <c r="O464" s="72"/>
      <c r="P464" s="72"/>
      <c r="Q464" s="65">
        <f t="shared" si="22"/>
        <v>36</v>
      </c>
      <c r="R464" s="66"/>
      <c r="S464" s="67"/>
      <c r="T464" s="73">
        <f>vypocet!AT38</f>
        <v>0.17142857142857137</v>
      </c>
      <c r="U464" s="74"/>
      <c r="V464" s="75"/>
      <c r="W464" s="86"/>
      <c r="X464" s="72">
        <v>12</v>
      </c>
      <c r="Y464" s="72"/>
      <c r="Z464" s="72"/>
      <c r="AA464" s="65">
        <f t="shared" si="23"/>
        <v>58.799999999999983</v>
      </c>
      <c r="AB464" s="66"/>
      <c r="AC464" s="67"/>
      <c r="AD464" s="73">
        <f>vypocet!AT58</f>
        <v>-3.3766233766233618E-2</v>
      </c>
      <c r="AE464" s="74"/>
      <c r="AF464" s="76"/>
    </row>
    <row r="465" spans="3:32" x14ac:dyDescent="0.25">
      <c r="C465" s="61"/>
      <c r="D465" s="72">
        <v>13</v>
      </c>
      <c r="E465" s="72"/>
      <c r="F465" s="72"/>
      <c r="G465" s="65">
        <f t="shared" si="21"/>
        <v>11.700000000000003</v>
      </c>
      <c r="H465" s="66"/>
      <c r="I465" s="67"/>
      <c r="J465" s="73">
        <f>vypocet!AU19</f>
        <v>0.11145833333333366</v>
      </c>
      <c r="K465" s="74"/>
      <c r="L465" s="75"/>
      <c r="M465" s="86"/>
      <c r="N465" s="72">
        <v>13</v>
      </c>
      <c r="O465" s="72"/>
      <c r="P465" s="72"/>
      <c r="Q465" s="65">
        <f t="shared" si="22"/>
        <v>37.5</v>
      </c>
      <c r="R465" s="66"/>
      <c r="S465" s="67"/>
      <c r="T465" s="73">
        <f>vypocet!AT39</f>
        <v>0.19009740259740263</v>
      </c>
      <c r="U465" s="74"/>
      <c r="V465" s="75"/>
      <c r="W465" s="86"/>
      <c r="X465" s="72">
        <v>13</v>
      </c>
      <c r="Y465" s="72"/>
      <c r="Z465" s="72"/>
      <c r="AA465" s="65">
        <f t="shared" si="23"/>
        <v>59.699999999999982</v>
      </c>
      <c r="AB465" s="66"/>
      <c r="AC465" s="67"/>
      <c r="AD465" s="73">
        <f>vypocet!AT59</f>
        <v>-4.1071428571428412E-2</v>
      </c>
      <c r="AE465" s="74"/>
      <c r="AF465" s="76"/>
    </row>
    <row r="466" spans="3:32" x14ac:dyDescent="0.25">
      <c r="C466" s="61"/>
      <c r="D466" s="72">
        <v>14</v>
      </c>
      <c r="E466" s="72"/>
      <c r="F466" s="72"/>
      <c r="G466" s="65">
        <f t="shared" si="21"/>
        <v>12.600000000000003</v>
      </c>
      <c r="H466" s="66"/>
      <c r="I466" s="67"/>
      <c r="J466" s="73">
        <f>vypocet!AU20</f>
        <v>0.19583333333333358</v>
      </c>
      <c r="K466" s="74"/>
      <c r="L466" s="75"/>
      <c r="M466" s="86"/>
      <c r="N466" s="72">
        <v>14</v>
      </c>
      <c r="O466" s="72"/>
      <c r="P466" s="72"/>
      <c r="Q466" s="65">
        <f t="shared" si="22"/>
        <v>39</v>
      </c>
      <c r="R466" s="66"/>
      <c r="S466" s="67"/>
      <c r="T466" s="73">
        <f>vypocet!AT40</f>
        <v>0.20194805194805188</v>
      </c>
      <c r="U466" s="74"/>
      <c r="V466" s="75"/>
      <c r="W466" s="86"/>
      <c r="X466" s="72">
        <v>14</v>
      </c>
      <c r="Y466" s="72"/>
      <c r="Z466" s="72"/>
      <c r="AA466" s="65">
        <f t="shared" si="23"/>
        <v>60.59999999999998</v>
      </c>
      <c r="AB466" s="66"/>
      <c r="AC466" s="67"/>
      <c r="AD466" s="73">
        <f>vypocet!AT60</f>
        <v>-4.7402597402597252E-2</v>
      </c>
      <c r="AE466" s="74"/>
      <c r="AF466" s="76"/>
    </row>
    <row r="467" spans="3:32" x14ac:dyDescent="0.25">
      <c r="C467" s="61"/>
      <c r="D467" s="72">
        <v>15</v>
      </c>
      <c r="E467" s="72"/>
      <c r="F467" s="72"/>
      <c r="G467" s="65">
        <f t="shared" si="21"/>
        <v>13.500000000000004</v>
      </c>
      <c r="H467" s="66"/>
      <c r="I467" s="67"/>
      <c r="J467" s="73">
        <f>vypocet!AU21</f>
        <v>0.28645833333333359</v>
      </c>
      <c r="K467" s="74"/>
      <c r="L467" s="75"/>
      <c r="M467" s="86"/>
      <c r="N467" s="72">
        <v>15</v>
      </c>
      <c r="O467" s="72"/>
      <c r="P467" s="72"/>
      <c r="Q467" s="65">
        <f t="shared" si="22"/>
        <v>40.5</v>
      </c>
      <c r="R467" s="66"/>
      <c r="S467" s="67"/>
      <c r="T467" s="73">
        <f>vypocet!AT41</f>
        <v>0.20698051948051946</v>
      </c>
      <c r="U467" s="74"/>
      <c r="V467" s="75"/>
      <c r="W467" s="86"/>
      <c r="X467" s="72">
        <v>15</v>
      </c>
      <c r="Y467" s="72"/>
      <c r="Z467" s="72"/>
      <c r="AA467" s="65">
        <f t="shared" si="23"/>
        <v>61.499999999999979</v>
      </c>
      <c r="AB467" s="66"/>
      <c r="AC467" s="67"/>
      <c r="AD467" s="73">
        <f>vypocet!AT61</f>
        <v>-5.2759740259740132E-2</v>
      </c>
      <c r="AE467" s="74"/>
      <c r="AF467" s="76"/>
    </row>
    <row r="468" spans="3:32" x14ac:dyDescent="0.25">
      <c r="C468" s="61"/>
      <c r="D468" s="72">
        <v>16</v>
      </c>
      <c r="E468" s="72"/>
      <c r="F468" s="72"/>
      <c r="G468" s="65">
        <f t="shared" si="21"/>
        <v>14.400000000000004</v>
      </c>
      <c r="H468" s="66"/>
      <c r="I468" s="67"/>
      <c r="J468" s="73">
        <f>vypocet!AU22</f>
        <v>0.38333333333333369</v>
      </c>
      <c r="K468" s="74"/>
      <c r="L468" s="75"/>
      <c r="M468" s="86"/>
      <c r="N468" s="72">
        <v>16</v>
      </c>
      <c r="O468" s="72"/>
      <c r="P468" s="72"/>
      <c r="Q468" s="65">
        <f t="shared" si="22"/>
        <v>42</v>
      </c>
      <c r="R468" s="66"/>
      <c r="S468" s="67"/>
      <c r="T468" s="73">
        <f>vypocet!AT42</f>
        <v>0.20519480519480529</v>
      </c>
      <c r="U468" s="74"/>
      <c r="V468" s="75"/>
      <c r="W468" s="86"/>
      <c r="X468" s="72">
        <v>16</v>
      </c>
      <c r="Y468" s="72"/>
      <c r="Z468" s="72"/>
      <c r="AA468" s="65">
        <f t="shared" si="23"/>
        <v>62.399999999999977</v>
      </c>
      <c r="AB468" s="66"/>
      <c r="AC468" s="67"/>
      <c r="AD468" s="73">
        <f>vypocet!AT62</f>
        <v>-5.7142857142857072E-2</v>
      </c>
      <c r="AE468" s="74"/>
      <c r="AF468" s="76"/>
    </row>
    <row r="469" spans="3:32" x14ac:dyDescent="0.25">
      <c r="C469" s="61"/>
      <c r="D469" s="72">
        <v>17</v>
      </c>
      <c r="E469" s="72"/>
      <c r="F469" s="72"/>
      <c r="G469" s="65">
        <f t="shared" si="21"/>
        <v>15.300000000000004</v>
      </c>
      <c r="H469" s="66"/>
      <c r="I469" s="67"/>
      <c r="J469" s="73">
        <f>vypocet!AU23</f>
        <v>0.48645833333333371</v>
      </c>
      <c r="K469" s="74"/>
      <c r="L469" s="75"/>
      <c r="M469" s="86"/>
      <c r="N469" s="72">
        <v>17</v>
      </c>
      <c r="O469" s="72"/>
      <c r="P469" s="72"/>
      <c r="Q469" s="65">
        <f t="shared" si="22"/>
        <v>43.5</v>
      </c>
      <c r="R469" s="66"/>
      <c r="S469" s="67"/>
      <c r="T469" s="73">
        <f>vypocet!AT43</f>
        <v>0.19659090909090904</v>
      </c>
      <c r="U469" s="74"/>
      <c r="V469" s="75"/>
      <c r="W469" s="86"/>
      <c r="X469" s="72">
        <v>17</v>
      </c>
      <c r="Y469" s="72"/>
      <c r="Z469" s="72"/>
      <c r="AA469" s="65">
        <f t="shared" si="23"/>
        <v>63.299999999999976</v>
      </c>
      <c r="AB469" s="66"/>
      <c r="AC469" s="67"/>
      <c r="AD469" s="73">
        <f>vypocet!AT63</f>
        <v>-6.0551948051947933E-2</v>
      </c>
      <c r="AE469" s="74"/>
      <c r="AF469" s="76"/>
    </row>
    <row r="470" spans="3:32" x14ac:dyDescent="0.25">
      <c r="C470" s="61"/>
      <c r="D470" s="72">
        <v>18</v>
      </c>
      <c r="E470" s="72"/>
      <c r="F470" s="72"/>
      <c r="G470" s="65">
        <f t="shared" si="21"/>
        <v>16.200000000000003</v>
      </c>
      <c r="H470" s="66"/>
      <c r="I470" s="67"/>
      <c r="J470" s="73">
        <f>vypocet!AU24</f>
        <v>0.59583333333333377</v>
      </c>
      <c r="K470" s="74"/>
      <c r="L470" s="75"/>
      <c r="M470" s="86"/>
      <c r="N470" s="72">
        <v>18</v>
      </c>
      <c r="O470" s="72"/>
      <c r="P470" s="72"/>
      <c r="Q470" s="65">
        <f t="shared" si="22"/>
        <v>45</v>
      </c>
      <c r="R470" s="66"/>
      <c r="S470" s="67"/>
      <c r="T470" s="73">
        <f>vypocet!AT44</f>
        <v>0.18116883116883115</v>
      </c>
      <c r="U470" s="74"/>
      <c r="V470" s="75"/>
      <c r="W470" s="86"/>
      <c r="X470" s="72">
        <v>18</v>
      </c>
      <c r="Y470" s="72"/>
      <c r="Z470" s="72"/>
      <c r="AA470" s="65">
        <f t="shared" si="23"/>
        <v>64.199999999999974</v>
      </c>
      <c r="AB470" s="66"/>
      <c r="AC470" s="67"/>
      <c r="AD470" s="73">
        <f>vypocet!AT64</f>
        <v>-6.2987012987012939E-2</v>
      </c>
      <c r="AE470" s="74"/>
      <c r="AF470" s="76"/>
    </row>
    <row r="471" spans="3:32" x14ac:dyDescent="0.25">
      <c r="C471" s="61"/>
      <c r="D471" s="72">
        <v>19</v>
      </c>
      <c r="E471" s="72"/>
      <c r="F471" s="72"/>
      <c r="G471" s="65">
        <f t="shared" si="21"/>
        <v>17.100000000000001</v>
      </c>
      <c r="H471" s="66"/>
      <c r="I471" s="67"/>
      <c r="J471" s="73">
        <f>vypocet!AU25</f>
        <v>0.7114583333333333</v>
      </c>
      <c r="K471" s="74"/>
      <c r="L471" s="75"/>
      <c r="M471" s="86"/>
      <c r="N471" s="72">
        <v>19</v>
      </c>
      <c r="O471" s="72"/>
      <c r="P471" s="72"/>
      <c r="Q471" s="65">
        <f t="shared" si="22"/>
        <v>46.5</v>
      </c>
      <c r="R471" s="66"/>
      <c r="S471" s="67"/>
      <c r="T471" s="73">
        <f>vypocet!AT45</f>
        <v>0.15892857142857131</v>
      </c>
      <c r="U471" s="74"/>
      <c r="V471" s="75"/>
      <c r="W471" s="86"/>
      <c r="X471" s="72">
        <v>19</v>
      </c>
      <c r="Y471" s="72"/>
      <c r="Z471" s="72"/>
      <c r="AA471" s="65">
        <f t="shared" si="23"/>
        <v>65.09999999999998</v>
      </c>
      <c r="AB471" s="66"/>
      <c r="AC471" s="67"/>
      <c r="AD471" s="73">
        <f>vypocet!AT65</f>
        <v>-6.4448051948051893E-2</v>
      </c>
      <c r="AE471" s="74"/>
      <c r="AF471" s="76"/>
    </row>
    <row r="472" spans="3:32" ht="13.8" thickBot="1" x14ac:dyDescent="0.3">
      <c r="C472" s="135"/>
      <c r="D472" s="50">
        <v>20</v>
      </c>
      <c r="E472" s="50"/>
      <c r="F472" s="50"/>
      <c r="G472" s="126">
        <f t="shared" si="21"/>
        <v>18</v>
      </c>
      <c r="H472" s="127"/>
      <c r="I472" s="128"/>
      <c r="J472" s="129">
        <f>vypocet!AU26</f>
        <v>0.83333333333333337</v>
      </c>
      <c r="K472" s="130"/>
      <c r="L472" s="131"/>
      <c r="M472" s="125"/>
      <c r="N472" s="50">
        <v>20</v>
      </c>
      <c r="O472" s="50"/>
      <c r="P472" s="50"/>
      <c r="Q472" s="126">
        <f t="shared" si="22"/>
        <v>48</v>
      </c>
      <c r="R472" s="127"/>
      <c r="S472" s="128"/>
      <c r="T472" s="129">
        <f>vypocet!AT46</f>
        <v>0.12987012987012986</v>
      </c>
      <c r="U472" s="130"/>
      <c r="V472" s="131"/>
      <c r="W472" s="125"/>
      <c r="X472" s="50">
        <v>20</v>
      </c>
      <c r="Y472" s="50"/>
      <c r="Z472" s="50"/>
      <c r="AA472" s="126">
        <f t="shared" si="23"/>
        <v>65.999999999999986</v>
      </c>
      <c r="AB472" s="127"/>
      <c r="AC472" s="128"/>
      <c r="AD472" s="129">
        <f>vypocet!AT66</f>
        <v>-6.4935064935064957E-2</v>
      </c>
      <c r="AE472" s="130"/>
      <c r="AF472" s="134"/>
    </row>
    <row r="473" spans="3:32" ht="26.25" customHeight="1" x14ac:dyDescent="0.25"/>
    <row r="474" spans="3:32" x14ac:dyDescent="0.25">
      <c r="C474" s="10" t="s">
        <v>79</v>
      </c>
    </row>
    <row r="492" spans="2:32" ht="17.399999999999999" x14ac:dyDescent="0.3">
      <c r="B492" s="6" t="s">
        <v>81</v>
      </c>
      <c r="F492" t="s">
        <v>82</v>
      </c>
    </row>
    <row r="495" spans="2:32" ht="16.8" thickBot="1" x14ac:dyDescent="0.4">
      <c r="C495" s="5" t="s">
        <v>75</v>
      </c>
    </row>
    <row r="496" spans="2:32" x14ac:dyDescent="0.25">
      <c r="C496" s="91" t="s">
        <v>16</v>
      </c>
      <c r="D496" s="92"/>
      <c r="E496" s="92"/>
      <c r="F496" s="93"/>
      <c r="G496" s="97" t="s">
        <v>17</v>
      </c>
      <c r="H496" s="92"/>
      <c r="I496" s="93"/>
      <c r="J496" s="121" t="s">
        <v>84</v>
      </c>
      <c r="K496" s="92"/>
      <c r="L496" s="122"/>
      <c r="M496" s="100" t="s">
        <v>16</v>
      </c>
      <c r="N496" s="92"/>
      <c r="O496" s="92"/>
      <c r="P496" s="93"/>
      <c r="Q496" s="97" t="s">
        <v>17</v>
      </c>
      <c r="R496" s="92"/>
      <c r="S496" s="93"/>
      <c r="T496" s="121" t="s">
        <v>84</v>
      </c>
      <c r="U496" s="92"/>
      <c r="V496" s="122"/>
      <c r="W496" s="100" t="s">
        <v>16</v>
      </c>
      <c r="X496" s="92"/>
      <c r="Y496" s="92"/>
      <c r="Z496" s="93"/>
      <c r="AA496" s="97" t="s">
        <v>17</v>
      </c>
      <c r="AB496" s="92"/>
      <c r="AC496" s="93"/>
      <c r="AD496" s="121" t="s">
        <v>84</v>
      </c>
      <c r="AE496" s="92"/>
      <c r="AF496" s="99"/>
    </row>
    <row r="497" spans="3:32" ht="13.8" thickBot="1" x14ac:dyDescent="0.3">
      <c r="C497" s="94"/>
      <c r="D497" s="95"/>
      <c r="E497" s="95"/>
      <c r="F497" s="96"/>
      <c r="G497" s="102" t="s">
        <v>18</v>
      </c>
      <c r="H497" s="95"/>
      <c r="I497" s="96"/>
      <c r="J497" s="102" t="s">
        <v>58</v>
      </c>
      <c r="K497" s="95"/>
      <c r="L497" s="103"/>
      <c r="M497" s="101"/>
      <c r="N497" s="95"/>
      <c r="O497" s="95"/>
      <c r="P497" s="96"/>
      <c r="Q497" s="102" t="s">
        <v>18</v>
      </c>
      <c r="R497" s="95"/>
      <c r="S497" s="96"/>
      <c r="T497" s="95" t="s">
        <v>58</v>
      </c>
      <c r="U497" s="95"/>
      <c r="V497" s="95"/>
      <c r="W497" s="101"/>
      <c r="X497" s="95"/>
      <c r="Y497" s="95"/>
      <c r="Z497" s="96"/>
      <c r="AA497" s="102" t="s">
        <v>18</v>
      </c>
      <c r="AB497" s="95"/>
      <c r="AC497" s="96"/>
      <c r="AD497" s="95" t="s">
        <v>58</v>
      </c>
      <c r="AE497" s="95"/>
      <c r="AF497" s="104"/>
    </row>
    <row r="498" spans="3:32" ht="13.8" thickTop="1" x14ac:dyDescent="0.25">
      <c r="C498" s="60" t="s">
        <v>19</v>
      </c>
      <c r="D498" s="63">
        <v>0</v>
      </c>
      <c r="E498" s="63"/>
      <c r="F498" s="64"/>
      <c r="G498" s="65">
        <f>G452</f>
        <v>0</v>
      </c>
      <c r="H498" s="66"/>
      <c r="I498" s="67"/>
      <c r="J498" s="68">
        <f>vypocet!AV6</f>
        <v>-7.1428571428571425E-2</v>
      </c>
      <c r="K498" s="69"/>
      <c r="L498" s="70"/>
      <c r="M498" s="85" t="s">
        <v>20</v>
      </c>
      <c r="N498" s="63">
        <v>0</v>
      </c>
      <c r="O498" s="63"/>
      <c r="P498" s="64"/>
      <c r="Q498" s="65">
        <f>Q452</f>
        <v>18</v>
      </c>
      <c r="R498" s="66"/>
      <c r="S498" s="67"/>
      <c r="T498" s="68">
        <f>vypocet!AV26</f>
        <v>0.14285714285714285</v>
      </c>
      <c r="U498" s="69"/>
      <c r="V498" s="70"/>
      <c r="W498" s="85" t="s">
        <v>22</v>
      </c>
      <c r="X498" s="63">
        <v>0</v>
      </c>
      <c r="Y498" s="63"/>
      <c r="Z498" s="64"/>
      <c r="AA498" s="65">
        <f>AA452</f>
        <v>48</v>
      </c>
      <c r="AB498" s="66"/>
      <c r="AC498" s="67"/>
      <c r="AD498" s="68">
        <f>vypocet!AW46</f>
        <v>-0.14285714285714279</v>
      </c>
      <c r="AE498" s="69"/>
      <c r="AF498" s="71"/>
    </row>
    <row r="499" spans="3:32" x14ac:dyDescent="0.25">
      <c r="C499" s="61"/>
      <c r="D499" s="72">
        <v>1</v>
      </c>
      <c r="E499" s="72"/>
      <c r="F499" s="72"/>
      <c r="G499" s="65">
        <f>G453</f>
        <v>0.9</v>
      </c>
      <c r="H499" s="66"/>
      <c r="I499" s="67"/>
      <c r="J499" s="73">
        <f>vypocet!AV7</f>
        <v>-7.0892857142857146E-2</v>
      </c>
      <c r="K499" s="74"/>
      <c r="L499" s="75"/>
      <c r="M499" s="86"/>
      <c r="N499" s="72">
        <v>1</v>
      </c>
      <c r="O499" s="72"/>
      <c r="P499" s="72"/>
      <c r="Q499" s="65">
        <f>Q453</f>
        <v>19.5</v>
      </c>
      <c r="R499" s="66"/>
      <c r="S499" s="67"/>
      <c r="T499" s="73">
        <f>vypocet!AV27</f>
        <v>0.1785714285714286</v>
      </c>
      <c r="U499" s="74"/>
      <c r="V499" s="75"/>
      <c r="W499" s="86"/>
      <c r="X499" s="72">
        <v>1</v>
      </c>
      <c r="Y499" s="72"/>
      <c r="Z499" s="72"/>
      <c r="AA499" s="65">
        <f>AA453</f>
        <v>48.9</v>
      </c>
      <c r="AB499" s="66"/>
      <c r="AC499" s="67"/>
      <c r="AD499" s="73">
        <f>vypocet!AW47</f>
        <v>-0.12196428571428575</v>
      </c>
      <c r="AE499" s="74"/>
      <c r="AF499" s="76"/>
    </row>
    <row r="500" spans="3:32" x14ac:dyDescent="0.25">
      <c r="C500" s="61"/>
      <c r="D500" s="72">
        <v>2</v>
      </c>
      <c r="E500" s="72"/>
      <c r="F500" s="72"/>
      <c r="G500" s="65">
        <f t="shared" ref="G500:G507" si="24">G454</f>
        <v>1.8</v>
      </c>
      <c r="H500" s="66"/>
      <c r="I500" s="67"/>
      <c r="J500" s="73">
        <f>vypocet!AV8</f>
        <v>-6.9285714285714284E-2</v>
      </c>
      <c r="K500" s="74"/>
      <c r="L500" s="75"/>
      <c r="M500" s="86"/>
      <c r="N500" s="72">
        <v>2</v>
      </c>
      <c r="O500" s="72"/>
      <c r="P500" s="72"/>
      <c r="Q500" s="65">
        <f t="shared" ref="Q500:Q507" si="25">Q454</f>
        <v>21</v>
      </c>
      <c r="R500" s="66"/>
      <c r="S500" s="67"/>
      <c r="T500" s="73">
        <f>vypocet!AV28</f>
        <v>0.21428571428571425</v>
      </c>
      <c r="U500" s="74"/>
      <c r="V500" s="75"/>
      <c r="W500" s="86"/>
      <c r="X500" s="72">
        <v>2</v>
      </c>
      <c r="Y500" s="72"/>
      <c r="Z500" s="72"/>
      <c r="AA500" s="65">
        <f t="shared" ref="AA500:AA507" si="26">AA454</f>
        <v>49.8</v>
      </c>
      <c r="AB500" s="66"/>
      <c r="AC500" s="67"/>
      <c r="AD500" s="73">
        <f>vypocet!AW48</f>
        <v>-0.10214285714285717</v>
      </c>
      <c r="AE500" s="74"/>
      <c r="AF500" s="76"/>
    </row>
    <row r="501" spans="3:32" x14ac:dyDescent="0.25">
      <c r="C501" s="61"/>
      <c r="D501" s="72">
        <v>3</v>
      </c>
      <c r="E501" s="72"/>
      <c r="F501" s="72"/>
      <c r="G501" s="65">
        <f t="shared" si="24"/>
        <v>2.7</v>
      </c>
      <c r="H501" s="66"/>
      <c r="I501" s="67"/>
      <c r="J501" s="73">
        <f>vypocet!AV9</f>
        <v>-6.6607142857142865E-2</v>
      </c>
      <c r="K501" s="74"/>
      <c r="L501" s="75"/>
      <c r="M501" s="86"/>
      <c r="N501" s="72">
        <v>3</v>
      </c>
      <c r="O501" s="72"/>
      <c r="P501" s="72"/>
      <c r="Q501" s="65">
        <f t="shared" si="25"/>
        <v>22.5</v>
      </c>
      <c r="R501" s="66"/>
      <c r="S501" s="67"/>
      <c r="T501" s="73">
        <f>vypocet!AV29</f>
        <v>0.24999999999999994</v>
      </c>
      <c r="U501" s="74"/>
      <c r="V501" s="75"/>
      <c r="W501" s="86"/>
      <c r="X501" s="72">
        <v>3</v>
      </c>
      <c r="Y501" s="72"/>
      <c r="Z501" s="72"/>
      <c r="AA501" s="65">
        <f t="shared" si="26"/>
        <v>50.699999999999996</v>
      </c>
      <c r="AB501" s="66"/>
      <c r="AC501" s="67"/>
      <c r="AD501" s="73">
        <f>vypocet!AW49</f>
        <v>-8.3392857142857241E-2</v>
      </c>
      <c r="AE501" s="74"/>
      <c r="AF501" s="76"/>
    </row>
    <row r="502" spans="3:32" x14ac:dyDescent="0.25">
      <c r="C502" s="61"/>
      <c r="D502" s="72">
        <v>4</v>
      </c>
      <c r="E502" s="72"/>
      <c r="F502" s="72"/>
      <c r="G502" s="65">
        <f t="shared" si="24"/>
        <v>3.6</v>
      </c>
      <c r="H502" s="66"/>
      <c r="I502" s="67"/>
      <c r="J502" s="73">
        <f>vypocet!AV10</f>
        <v>-6.2857142857142861E-2</v>
      </c>
      <c r="K502" s="74"/>
      <c r="L502" s="75"/>
      <c r="M502" s="86"/>
      <c r="N502" s="72">
        <v>4</v>
      </c>
      <c r="O502" s="72"/>
      <c r="P502" s="72"/>
      <c r="Q502" s="65">
        <f t="shared" si="25"/>
        <v>24</v>
      </c>
      <c r="R502" s="66"/>
      <c r="S502" s="67"/>
      <c r="T502" s="73">
        <f>vypocet!AV30</f>
        <v>0.28571428571428564</v>
      </c>
      <c r="U502" s="74"/>
      <c r="V502" s="75"/>
      <c r="W502" s="86"/>
      <c r="X502" s="72">
        <v>4</v>
      </c>
      <c r="Y502" s="72"/>
      <c r="Z502" s="72"/>
      <c r="AA502" s="65">
        <f t="shared" si="26"/>
        <v>51.599999999999994</v>
      </c>
      <c r="AB502" s="66"/>
      <c r="AC502" s="67"/>
      <c r="AD502" s="73">
        <f>vypocet!AW50</f>
        <v>-6.5714285714285822E-2</v>
      </c>
      <c r="AE502" s="74"/>
      <c r="AF502" s="76"/>
    </row>
    <row r="503" spans="3:32" x14ac:dyDescent="0.25">
      <c r="C503" s="61"/>
      <c r="D503" s="72">
        <v>5</v>
      </c>
      <c r="E503" s="72"/>
      <c r="F503" s="72"/>
      <c r="G503" s="65">
        <f t="shared" si="24"/>
        <v>4.5</v>
      </c>
      <c r="H503" s="66"/>
      <c r="I503" s="67"/>
      <c r="J503" s="73">
        <f>vypocet!AV11</f>
        <v>-5.8035714285714288E-2</v>
      </c>
      <c r="K503" s="74"/>
      <c r="L503" s="75"/>
      <c r="M503" s="86"/>
      <c r="N503" s="72">
        <v>5</v>
      </c>
      <c r="O503" s="72"/>
      <c r="P503" s="72"/>
      <c r="Q503" s="65">
        <f t="shared" si="25"/>
        <v>25.5</v>
      </c>
      <c r="R503" s="66"/>
      <c r="S503" s="67"/>
      <c r="T503" s="73">
        <f>vypocet!AV31</f>
        <v>0.3214285714285714</v>
      </c>
      <c r="U503" s="74"/>
      <c r="V503" s="75"/>
      <c r="W503" s="86"/>
      <c r="X503" s="72">
        <v>5</v>
      </c>
      <c r="Y503" s="72"/>
      <c r="Z503" s="72"/>
      <c r="AA503" s="65">
        <f t="shared" si="26"/>
        <v>52.499999999999993</v>
      </c>
      <c r="AB503" s="66"/>
      <c r="AC503" s="67"/>
      <c r="AD503" s="73">
        <f>vypocet!AW51</f>
        <v>-4.9107142857142995E-2</v>
      </c>
      <c r="AE503" s="74"/>
      <c r="AF503" s="76"/>
    </row>
    <row r="504" spans="3:32" x14ac:dyDescent="0.25">
      <c r="C504" s="61"/>
      <c r="D504" s="72">
        <v>6</v>
      </c>
      <c r="E504" s="72"/>
      <c r="F504" s="72"/>
      <c r="G504" s="65">
        <f t="shared" si="24"/>
        <v>5.4</v>
      </c>
      <c r="H504" s="66"/>
      <c r="I504" s="67"/>
      <c r="J504" s="73">
        <f>vypocet!AV12</f>
        <v>-5.2142857142857137E-2</v>
      </c>
      <c r="K504" s="74"/>
      <c r="L504" s="75"/>
      <c r="M504" s="86"/>
      <c r="N504" s="72">
        <v>6</v>
      </c>
      <c r="O504" s="72"/>
      <c r="P504" s="72"/>
      <c r="Q504" s="65">
        <f t="shared" si="25"/>
        <v>27</v>
      </c>
      <c r="R504" s="66"/>
      <c r="S504" s="67"/>
      <c r="T504" s="73">
        <f>vypocet!AV32</f>
        <v>0.35714285714285715</v>
      </c>
      <c r="U504" s="74"/>
      <c r="V504" s="75"/>
      <c r="W504" s="86"/>
      <c r="X504" s="72">
        <v>6</v>
      </c>
      <c r="Y504" s="72"/>
      <c r="Z504" s="72"/>
      <c r="AA504" s="65">
        <f t="shared" si="26"/>
        <v>53.399999999999991</v>
      </c>
      <c r="AB504" s="66"/>
      <c r="AC504" s="67"/>
      <c r="AD504" s="73">
        <f>vypocet!AW52</f>
        <v>-3.357142857142871E-2</v>
      </c>
      <c r="AE504" s="74"/>
      <c r="AF504" s="76"/>
    </row>
    <row r="505" spans="3:32" x14ac:dyDescent="0.25">
      <c r="C505" s="61"/>
      <c r="D505" s="72">
        <v>7</v>
      </c>
      <c r="E505" s="72"/>
      <c r="F505" s="72"/>
      <c r="G505" s="65">
        <f t="shared" si="24"/>
        <v>6.3000000000000007</v>
      </c>
      <c r="H505" s="66"/>
      <c r="I505" s="67"/>
      <c r="J505" s="73">
        <f>vypocet!AV13</f>
        <v>-4.5178571428571415E-2</v>
      </c>
      <c r="K505" s="74"/>
      <c r="L505" s="75"/>
      <c r="M505" s="86"/>
      <c r="N505" s="72">
        <v>7</v>
      </c>
      <c r="O505" s="72"/>
      <c r="P505" s="72"/>
      <c r="Q505" s="65">
        <f t="shared" si="25"/>
        <v>28.5</v>
      </c>
      <c r="R505" s="66"/>
      <c r="S505" s="67"/>
      <c r="T505" s="73">
        <f>vypocet!AV33</f>
        <v>0.39285714285714285</v>
      </c>
      <c r="U505" s="74"/>
      <c r="V505" s="75"/>
      <c r="W505" s="86"/>
      <c r="X505" s="72">
        <v>7</v>
      </c>
      <c r="Y505" s="72"/>
      <c r="Z505" s="72"/>
      <c r="AA505" s="65">
        <f t="shared" si="26"/>
        <v>54.29999999999999</v>
      </c>
      <c r="AB505" s="66"/>
      <c r="AC505" s="67"/>
      <c r="AD505" s="73">
        <f>vypocet!AW53</f>
        <v>-1.910714285714302E-2</v>
      </c>
      <c r="AE505" s="74"/>
      <c r="AF505" s="76"/>
    </row>
    <row r="506" spans="3:32" x14ac:dyDescent="0.25">
      <c r="C506" s="61"/>
      <c r="D506" s="72">
        <v>8</v>
      </c>
      <c r="E506" s="72"/>
      <c r="F506" s="72"/>
      <c r="G506" s="65">
        <f t="shared" si="24"/>
        <v>7.2000000000000011</v>
      </c>
      <c r="H506" s="66"/>
      <c r="I506" s="67"/>
      <c r="J506" s="73">
        <f>vypocet!AV14</f>
        <v>-3.714285714285713E-2</v>
      </c>
      <c r="K506" s="74"/>
      <c r="L506" s="75"/>
      <c r="M506" s="86"/>
      <c r="N506" s="72">
        <v>8</v>
      </c>
      <c r="O506" s="72"/>
      <c r="P506" s="72"/>
      <c r="Q506" s="65">
        <f t="shared" si="25"/>
        <v>30</v>
      </c>
      <c r="R506" s="66"/>
      <c r="S506" s="67"/>
      <c r="T506" s="73">
        <f>vypocet!AV34</f>
        <v>0.42857142857142855</v>
      </c>
      <c r="U506" s="74"/>
      <c r="V506" s="75"/>
      <c r="W506" s="86"/>
      <c r="X506" s="72">
        <v>8</v>
      </c>
      <c r="Y506" s="72"/>
      <c r="Z506" s="72"/>
      <c r="AA506" s="65">
        <f t="shared" si="26"/>
        <v>55.199999999999989</v>
      </c>
      <c r="AB506" s="66"/>
      <c r="AC506" s="67"/>
      <c r="AD506" s="73">
        <f>vypocet!AW54</f>
        <v>-5.7142857142858617E-3</v>
      </c>
      <c r="AE506" s="74"/>
      <c r="AF506" s="76"/>
    </row>
    <row r="507" spans="3:32" x14ac:dyDescent="0.25">
      <c r="C507" s="61"/>
      <c r="D507" s="72">
        <v>9</v>
      </c>
      <c r="E507" s="72"/>
      <c r="F507" s="72"/>
      <c r="G507" s="65">
        <f t="shared" si="24"/>
        <v>8.1000000000000014</v>
      </c>
      <c r="H507" s="66"/>
      <c r="I507" s="67"/>
      <c r="J507" s="73">
        <f>vypocet!AV15</f>
        <v>-2.8035714285714265E-2</v>
      </c>
      <c r="K507" s="74"/>
      <c r="L507" s="75"/>
      <c r="M507" s="86"/>
      <c r="N507" s="72">
        <v>9</v>
      </c>
      <c r="O507" s="72"/>
      <c r="P507" s="72"/>
      <c r="Q507" s="65">
        <f t="shared" si="25"/>
        <v>31.5</v>
      </c>
      <c r="R507" s="66"/>
      <c r="S507" s="67"/>
      <c r="T507" s="73">
        <f>vypocet!AV35</f>
        <v>0.4642857142857143</v>
      </c>
      <c r="U507" s="74"/>
      <c r="V507" s="75"/>
      <c r="W507" s="86"/>
      <c r="X507" s="72">
        <v>9</v>
      </c>
      <c r="Y507" s="72"/>
      <c r="Z507" s="72"/>
      <c r="AA507" s="65">
        <f t="shared" si="26"/>
        <v>56.099999999999987</v>
      </c>
      <c r="AB507" s="66"/>
      <c r="AC507" s="67"/>
      <c r="AD507" s="73">
        <f>vypocet!AW55</f>
        <v>6.6071428571426926E-3</v>
      </c>
      <c r="AE507" s="74"/>
      <c r="AF507" s="76"/>
    </row>
    <row r="508" spans="3:32" x14ac:dyDescent="0.25">
      <c r="C508" s="61"/>
      <c r="D508" s="110">
        <v>10</v>
      </c>
      <c r="E508" s="110"/>
      <c r="F508" s="111"/>
      <c r="G508" s="109">
        <f>G462</f>
        <v>9.0000000000000018</v>
      </c>
      <c r="H508" s="132"/>
      <c r="I508" s="133"/>
      <c r="J508" s="73">
        <f>vypocet!AV16</f>
        <v>-1.7857142857142842E-2</v>
      </c>
      <c r="K508" s="74"/>
      <c r="L508" s="75"/>
      <c r="M508" s="86"/>
      <c r="N508" s="110">
        <v>10</v>
      </c>
      <c r="O508" s="110"/>
      <c r="P508" s="111"/>
      <c r="Q508" s="109">
        <f>Q462</f>
        <v>33</v>
      </c>
      <c r="R508" s="132"/>
      <c r="S508" s="133"/>
      <c r="T508" s="73">
        <f>vypocet!AV36</f>
        <v>0.49999999999999994</v>
      </c>
      <c r="U508" s="74"/>
      <c r="V508" s="75"/>
      <c r="W508" s="86"/>
      <c r="X508" s="110">
        <v>10</v>
      </c>
      <c r="Y508" s="110"/>
      <c r="Z508" s="111"/>
      <c r="AA508" s="109">
        <f>AA462</f>
        <v>56.999999999999986</v>
      </c>
      <c r="AB508" s="132"/>
      <c r="AC508" s="133"/>
      <c r="AD508" s="73">
        <f>vypocet!AW56</f>
        <v>1.7857142857142676E-2</v>
      </c>
      <c r="AE508" s="74"/>
      <c r="AF508" s="76"/>
    </row>
    <row r="509" spans="3:32" x14ac:dyDescent="0.25">
      <c r="C509" s="61"/>
      <c r="D509" s="110"/>
      <c r="E509" s="110"/>
      <c r="F509" s="111"/>
      <c r="G509" s="109"/>
      <c r="H509" s="132"/>
      <c r="I509" s="133"/>
      <c r="J509" s="73"/>
      <c r="K509" s="74"/>
      <c r="L509" s="75"/>
      <c r="M509" s="86"/>
      <c r="N509" s="110"/>
      <c r="O509" s="110"/>
      <c r="P509" s="111"/>
      <c r="Q509" s="109"/>
      <c r="R509" s="132"/>
      <c r="S509" s="133"/>
      <c r="T509" s="73">
        <f>vypocet!AW36</f>
        <v>-0.5</v>
      </c>
      <c r="U509" s="74"/>
      <c r="V509" s="75"/>
      <c r="W509" s="86"/>
      <c r="X509" s="110"/>
      <c r="Y509" s="110"/>
      <c r="Z509" s="111"/>
      <c r="AA509" s="109"/>
      <c r="AB509" s="132"/>
      <c r="AC509" s="133"/>
      <c r="AD509" s="73"/>
      <c r="AE509" s="74"/>
      <c r="AF509" s="76"/>
    </row>
    <row r="510" spans="3:32" x14ac:dyDescent="0.25">
      <c r="C510" s="61"/>
      <c r="D510" s="72">
        <v>11</v>
      </c>
      <c r="E510" s="72"/>
      <c r="F510" s="72"/>
      <c r="G510" s="65">
        <f>G463</f>
        <v>9.9000000000000021</v>
      </c>
      <c r="H510" s="66"/>
      <c r="I510" s="67"/>
      <c r="J510" s="73">
        <f>vypocet!AV17</f>
        <v>-6.6071428571428271E-3</v>
      </c>
      <c r="K510" s="74"/>
      <c r="L510" s="75"/>
      <c r="M510" s="86"/>
      <c r="N510" s="72">
        <v>11</v>
      </c>
      <c r="O510" s="72"/>
      <c r="P510" s="72"/>
      <c r="Q510" s="65">
        <f>Q463</f>
        <v>34.5</v>
      </c>
      <c r="R510" s="66"/>
      <c r="S510" s="67"/>
      <c r="T510" s="73">
        <f>vypocet!AW37</f>
        <v>-0.4642857142857143</v>
      </c>
      <c r="U510" s="74"/>
      <c r="V510" s="75"/>
      <c r="W510" s="86"/>
      <c r="X510" s="72">
        <v>11</v>
      </c>
      <c r="Y510" s="72"/>
      <c r="Z510" s="72"/>
      <c r="AA510" s="65">
        <f>AA463</f>
        <v>57.899999999999984</v>
      </c>
      <c r="AB510" s="66"/>
      <c r="AC510" s="67"/>
      <c r="AD510" s="73">
        <f>vypocet!AW57</f>
        <v>2.8035714285714133E-2</v>
      </c>
      <c r="AE510" s="74"/>
      <c r="AF510" s="76"/>
    </row>
    <row r="511" spans="3:32" x14ac:dyDescent="0.25">
      <c r="C511" s="61"/>
      <c r="D511" s="72">
        <v>12</v>
      </c>
      <c r="E511" s="72"/>
      <c r="F511" s="72"/>
      <c r="G511" s="65">
        <f t="shared" ref="G511:G519" si="27">G464</f>
        <v>10.800000000000002</v>
      </c>
      <c r="H511" s="66"/>
      <c r="I511" s="67"/>
      <c r="J511" s="73">
        <f>vypocet!AV18</f>
        <v>5.7142857142857516E-3</v>
      </c>
      <c r="K511" s="74"/>
      <c r="L511" s="75"/>
      <c r="M511" s="86"/>
      <c r="N511" s="72">
        <v>12</v>
      </c>
      <c r="O511" s="72"/>
      <c r="P511" s="72"/>
      <c r="Q511" s="65">
        <f t="shared" ref="Q511:Q519" si="28">Q464</f>
        <v>36</v>
      </c>
      <c r="R511" s="66"/>
      <c r="S511" s="67"/>
      <c r="T511" s="73">
        <f>vypocet!AW38</f>
        <v>-0.42857142857142855</v>
      </c>
      <c r="U511" s="74"/>
      <c r="V511" s="75"/>
      <c r="W511" s="86"/>
      <c r="X511" s="72">
        <v>12</v>
      </c>
      <c r="Y511" s="72"/>
      <c r="Z511" s="72"/>
      <c r="AA511" s="65">
        <f t="shared" ref="AA511:AA519" si="29">AA464</f>
        <v>58.799999999999983</v>
      </c>
      <c r="AB511" s="66"/>
      <c r="AC511" s="67"/>
      <c r="AD511" s="73">
        <f>vypocet!AW58</f>
        <v>3.7142857142856985E-2</v>
      </c>
      <c r="AE511" s="74"/>
      <c r="AF511" s="76"/>
    </row>
    <row r="512" spans="3:32" x14ac:dyDescent="0.25">
      <c r="C512" s="61"/>
      <c r="D512" s="72">
        <v>13</v>
      </c>
      <c r="E512" s="72"/>
      <c r="F512" s="72"/>
      <c r="G512" s="65">
        <f t="shared" si="27"/>
        <v>11.700000000000003</v>
      </c>
      <c r="H512" s="66"/>
      <c r="I512" s="67"/>
      <c r="J512" s="73">
        <f>vypocet!AV19</f>
        <v>1.9107142857142892E-2</v>
      </c>
      <c r="K512" s="74"/>
      <c r="L512" s="75"/>
      <c r="M512" s="86"/>
      <c r="N512" s="72">
        <v>13</v>
      </c>
      <c r="O512" s="72"/>
      <c r="P512" s="72"/>
      <c r="Q512" s="65">
        <f t="shared" si="28"/>
        <v>37.5</v>
      </c>
      <c r="R512" s="66"/>
      <c r="S512" s="67"/>
      <c r="T512" s="73">
        <f>vypocet!AW39</f>
        <v>-0.39285714285714285</v>
      </c>
      <c r="U512" s="74"/>
      <c r="V512" s="75"/>
      <c r="W512" s="86"/>
      <c r="X512" s="72">
        <v>13</v>
      </c>
      <c r="Y512" s="72"/>
      <c r="Z512" s="72"/>
      <c r="AA512" s="65">
        <f t="shared" si="29"/>
        <v>59.699999999999982</v>
      </c>
      <c r="AB512" s="66"/>
      <c r="AC512" s="67"/>
      <c r="AD512" s="73">
        <f>vypocet!AW59</f>
        <v>4.5178571428571256E-2</v>
      </c>
      <c r="AE512" s="74"/>
      <c r="AF512" s="76"/>
    </row>
    <row r="513" spans="3:32" x14ac:dyDescent="0.25">
      <c r="C513" s="61"/>
      <c r="D513" s="72">
        <v>14</v>
      </c>
      <c r="E513" s="72"/>
      <c r="F513" s="72"/>
      <c r="G513" s="65">
        <f t="shared" si="27"/>
        <v>12.600000000000003</v>
      </c>
      <c r="H513" s="66"/>
      <c r="I513" s="67"/>
      <c r="J513" s="73">
        <f>vypocet!AV20</f>
        <v>3.3571428571428613E-2</v>
      </c>
      <c r="K513" s="74"/>
      <c r="L513" s="75"/>
      <c r="M513" s="86"/>
      <c r="N513" s="72">
        <v>14</v>
      </c>
      <c r="O513" s="72"/>
      <c r="P513" s="72"/>
      <c r="Q513" s="65">
        <f t="shared" si="28"/>
        <v>39</v>
      </c>
      <c r="R513" s="66"/>
      <c r="S513" s="67"/>
      <c r="T513" s="73">
        <f>vypocet!AW40</f>
        <v>-0.35714285714285715</v>
      </c>
      <c r="U513" s="74"/>
      <c r="V513" s="75"/>
      <c r="W513" s="86"/>
      <c r="X513" s="72">
        <v>14</v>
      </c>
      <c r="Y513" s="72"/>
      <c r="Z513" s="72"/>
      <c r="AA513" s="65">
        <f t="shared" si="29"/>
        <v>60.59999999999998</v>
      </c>
      <c r="AB513" s="66"/>
      <c r="AC513" s="67"/>
      <c r="AD513" s="73">
        <f>vypocet!AW60</f>
        <v>5.2142857142856984E-2</v>
      </c>
      <c r="AE513" s="74"/>
      <c r="AF513" s="76"/>
    </row>
    <row r="514" spans="3:32" x14ac:dyDescent="0.25">
      <c r="C514" s="61"/>
      <c r="D514" s="72">
        <v>15</v>
      </c>
      <c r="E514" s="72"/>
      <c r="F514" s="72"/>
      <c r="G514" s="65">
        <f t="shared" si="27"/>
        <v>13.500000000000004</v>
      </c>
      <c r="H514" s="66"/>
      <c r="I514" s="67"/>
      <c r="J514" s="73">
        <f>vypocet!AV21</f>
        <v>4.9107142857142905E-2</v>
      </c>
      <c r="K514" s="74"/>
      <c r="L514" s="75"/>
      <c r="M514" s="86"/>
      <c r="N514" s="72">
        <v>15</v>
      </c>
      <c r="O514" s="72"/>
      <c r="P514" s="72"/>
      <c r="Q514" s="65">
        <f t="shared" si="28"/>
        <v>40.5</v>
      </c>
      <c r="R514" s="66"/>
      <c r="S514" s="67"/>
      <c r="T514" s="73">
        <f>vypocet!AW41</f>
        <v>-0.32142857142857145</v>
      </c>
      <c r="U514" s="74"/>
      <c r="V514" s="75"/>
      <c r="W514" s="86"/>
      <c r="X514" s="72">
        <v>15</v>
      </c>
      <c r="Y514" s="72"/>
      <c r="Z514" s="72"/>
      <c r="AA514" s="65">
        <f t="shared" si="29"/>
        <v>61.499999999999979</v>
      </c>
      <c r="AB514" s="66"/>
      <c r="AC514" s="67"/>
      <c r="AD514" s="73">
        <f>vypocet!AW61</f>
        <v>5.8035714285714163E-2</v>
      </c>
      <c r="AE514" s="74"/>
      <c r="AF514" s="76"/>
    </row>
    <row r="515" spans="3:32" x14ac:dyDescent="0.25">
      <c r="C515" s="61"/>
      <c r="D515" s="72">
        <v>16</v>
      </c>
      <c r="E515" s="72"/>
      <c r="F515" s="72"/>
      <c r="G515" s="65">
        <f t="shared" si="27"/>
        <v>14.400000000000004</v>
      </c>
      <c r="H515" s="66"/>
      <c r="I515" s="67"/>
      <c r="J515" s="73">
        <f>vypocet!AV22</f>
        <v>6.5714285714285781E-2</v>
      </c>
      <c r="K515" s="74"/>
      <c r="L515" s="75"/>
      <c r="M515" s="86"/>
      <c r="N515" s="72">
        <v>16</v>
      </c>
      <c r="O515" s="72"/>
      <c r="P515" s="72"/>
      <c r="Q515" s="65">
        <f t="shared" si="28"/>
        <v>42</v>
      </c>
      <c r="R515" s="66"/>
      <c r="S515" s="67"/>
      <c r="T515" s="73">
        <f>vypocet!AW42</f>
        <v>-0.2857142857142857</v>
      </c>
      <c r="U515" s="74"/>
      <c r="V515" s="75"/>
      <c r="W515" s="86"/>
      <c r="X515" s="72">
        <v>16</v>
      </c>
      <c r="Y515" s="72"/>
      <c r="Z515" s="72"/>
      <c r="AA515" s="65">
        <f t="shared" si="29"/>
        <v>62.399999999999977</v>
      </c>
      <c r="AB515" s="66"/>
      <c r="AC515" s="67"/>
      <c r="AD515" s="73">
        <f>vypocet!AW62</f>
        <v>6.2857142857142778E-2</v>
      </c>
      <c r="AE515" s="74"/>
      <c r="AF515" s="76"/>
    </row>
    <row r="516" spans="3:32" x14ac:dyDescent="0.25">
      <c r="C516" s="61"/>
      <c r="D516" s="72">
        <v>17</v>
      </c>
      <c r="E516" s="72"/>
      <c r="F516" s="72"/>
      <c r="G516" s="65">
        <f t="shared" si="27"/>
        <v>15.300000000000004</v>
      </c>
      <c r="H516" s="66"/>
      <c r="I516" s="67"/>
      <c r="J516" s="73">
        <f>vypocet!AV23</f>
        <v>8.3392857142857199E-2</v>
      </c>
      <c r="K516" s="74"/>
      <c r="L516" s="75"/>
      <c r="M516" s="86"/>
      <c r="N516" s="72">
        <v>17</v>
      </c>
      <c r="O516" s="72"/>
      <c r="P516" s="72"/>
      <c r="Q516" s="65">
        <f t="shared" si="28"/>
        <v>43.5</v>
      </c>
      <c r="R516" s="66"/>
      <c r="S516" s="67"/>
      <c r="T516" s="73">
        <f>vypocet!AW43</f>
        <v>-0.24999999999999997</v>
      </c>
      <c r="U516" s="74"/>
      <c r="V516" s="75"/>
      <c r="W516" s="86"/>
      <c r="X516" s="72">
        <v>17</v>
      </c>
      <c r="Y516" s="72"/>
      <c r="Z516" s="72"/>
      <c r="AA516" s="65">
        <f t="shared" si="29"/>
        <v>63.299999999999976</v>
      </c>
      <c r="AB516" s="66"/>
      <c r="AC516" s="67"/>
      <c r="AD516" s="73">
        <f>vypocet!AW63</f>
        <v>6.660714285714274E-2</v>
      </c>
      <c r="AE516" s="74"/>
      <c r="AF516" s="76"/>
    </row>
    <row r="517" spans="3:32" x14ac:dyDescent="0.25">
      <c r="C517" s="61"/>
      <c r="D517" s="72">
        <v>18</v>
      </c>
      <c r="E517" s="72"/>
      <c r="F517" s="72"/>
      <c r="G517" s="65">
        <f t="shared" si="27"/>
        <v>16.200000000000003</v>
      </c>
      <c r="H517" s="66"/>
      <c r="I517" s="67"/>
      <c r="J517" s="73">
        <f>vypocet!AV24</f>
        <v>0.10214285714285723</v>
      </c>
      <c r="K517" s="74"/>
      <c r="L517" s="75"/>
      <c r="M517" s="86"/>
      <c r="N517" s="72">
        <v>18</v>
      </c>
      <c r="O517" s="72"/>
      <c r="P517" s="72"/>
      <c r="Q517" s="65">
        <f t="shared" si="28"/>
        <v>45</v>
      </c>
      <c r="R517" s="66"/>
      <c r="S517" s="67"/>
      <c r="T517" s="73">
        <f>vypocet!AW44</f>
        <v>-0.2142857142857143</v>
      </c>
      <c r="U517" s="74"/>
      <c r="V517" s="75"/>
      <c r="W517" s="86"/>
      <c r="X517" s="72">
        <v>18</v>
      </c>
      <c r="Y517" s="72"/>
      <c r="Z517" s="72"/>
      <c r="AA517" s="65">
        <f t="shared" si="29"/>
        <v>64.199999999999974</v>
      </c>
      <c r="AB517" s="66"/>
      <c r="AC517" s="67"/>
      <c r="AD517" s="73">
        <f>vypocet!AW64</f>
        <v>6.9285714285714242E-2</v>
      </c>
      <c r="AE517" s="74"/>
      <c r="AF517" s="76"/>
    </row>
    <row r="518" spans="3:32" x14ac:dyDescent="0.25">
      <c r="C518" s="61"/>
      <c r="D518" s="72">
        <v>19</v>
      </c>
      <c r="E518" s="72"/>
      <c r="F518" s="72"/>
      <c r="G518" s="65">
        <f t="shared" si="27"/>
        <v>17.100000000000001</v>
      </c>
      <c r="H518" s="66"/>
      <c r="I518" s="67"/>
      <c r="J518" s="73">
        <f>vypocet!AV25</f>
        <v>0.12196428571428571</v>
      </c>
      <c r="K518" s="74"/>
      <c r="L518" s="75"/>
      <c r="M518" s="86"/>
      <c r="N518" s="72">
        <v>19</v>
      </c>
      <c r="O518" s="72"/>
      <c r="P518" s="72"/>
      <c r="Q518" s="65">
        <f t="shared" si="28"/>
        <v>46.5</v>
      </c>
      <c r="R518" s="66"/>
      <c r="S518" s="67"/>
      <c r="T518" s="73">
        <f>vypocet!AW45</f>
        <v>-0.17857142857142855</v>
      </c>
      <c r="U518" s="74"/>
      <c r="V518" s="75"/>
      <c r="W518" s="86"/>
      <c r="X518" s="72">
        <v>19</v>
      </c>
      <c r="Y518" s="72"/>
      <c r="Z518" s="72"/>
      <c r="AA518" s="65">
        <f t="shared" si="29"/>
        <v>65.09999999999998</v>
      </c>
      <c r="AB518" s="66"/>
      <c r="AC518" s="67"/>
      <c r="AD518" s="73">
        <f>vypocet!AW65</f>
        <v>7.0892857142857091E-2</v>
      </c>
      <c r="AE518" s="74"/>
      <c r="AF518" s="76"/>
    </row>
    <row r="519" spans="3:32" ht="13.8" thickBot="1" x14ac:dyDescent="0.3">
      <c r="C519" s="135"/>
      <c r="D519" s="50">
        <v>20</v>
      </c>
      <c r="E519" s="50"/>
      <c r="F519" s="50"/>
      <c r="G519" s="126">
        <f t="shared" si="27"/>
        <v>18</v>
      </c>
      <c r="H519" s="127"/>
      <c r="I519" s="128"/>
      <c r="J519" s="129">
        <f>vypocet!AV26</f>
        <v>0.14285714285714285</v>
      </c>
      <c r="K519" s="130"/>
      <c r="L519" s="131"/>
      <c r="M519" s="125"/>
      <c r="N519" s="50">
        <v>20</v>
      </c>
      <c r="O519" s="50"/>
      <c r="P519" s="50"/>
      <c r="Q519" s="126">
        <f t="shared" si="28"/>
        <v>48</v>
      </c>
      <c r="R519" s="127"/>
      <c r="S519" s="128"/>
      <c r="T519" s="129">
        <f>vypocet!AW46</f>
        <v>-0.14285714285714279</v>
      </c>
      <c r="U519" s="130"/>
      <c r="V519" s="131"/>
      <c r="W519" s="125"/>
      <c r="X519" s="50">
        <v>20</v>
      </c>
      <c r="Y519" s="50"/>
      <c r="Z519" s="50"/>
      <c r="AA519" s="126">
        <f t="shared" si="29"/>
        <v>65.999999999999986</v>
      </c>
      <c r="AB519" s="127"/>
      <c r="AC519" s="128"/>
      <c r="AD519" s="129">
        <f>vypocet!AW66</f>
        <v>7.1428571428571452E-2</v>
      </c>
      <c r="AE519" s="130"/>
      <c r="AF519" s="134"/>
    </row>
    <row r="521" spans="3:32" x14ac:dyDescent="0.25">
      <c r="C521" s="10" t="s">
        <v>83</v>
      </c>
    </row>
  </sheetData>
  <mergeCells count="2168">
    <mergeCell ref="T519:V519"/>
    <mergeCell ref="X519:Z519"/>
    <mergeCell ref="AA519:AC519"/>
    <mergeCell ref="AD519:AF519"/>
    <mergeCell ref="W498:W519"/>
    <mergeCell ref="X498:Z498"/>
    <mergeCell ref="AA498:AC498"/>
    <mergeCell ref="AD498:AF498"/>
    <mergeCell ref="X499:Z499"/>
    <mergeCell ref="X508:Z509"/>
    <mergeCell ref="W496:Z497"/>
    <mergeCell ref="AA496:AC496"/>
    <mergeCell ref="Q497:S497"/>
    <mergeCell ref="T497:V497"/>
    <mergeCell ref="AA497:AC497"/>
    <mergeCell ref="AD496:AF496"/>
    <mergeCell ref="T507:V507"/>
    <mergeCell ref="X507:Z507"/>
    <mergeCell ref="AA507:AC507"/>
    <mergeCell ref="T512:V512"/>
    <mergeCell ref="X512:Z512"/>
    <mergeCell ref="AA512:AC512"/>
    <mergeCell ref="AA472:AC472"/>
    <mergeCell ref="AD472:AF472"/>
    <mergeCell ref="C496:F497"/>
    <mergeCell ref="G496:I496"/>
    <mergeCell ref="J496:L496"/>
    <mergeCell ref="M496:P497"/>
    <mergeCell ref="G497:I497"/>
    <mergeCell ref="J497:L497"/>
    <mergeCell ref="Q496:S496"/>
    <mergeCell ref="T496:V496"/>
    <mergeCell ref="X471:Z471"/>
    <mergeCell ref="AA471:AC471"/>
    <mergeCell ref="AD471:AF471"/>
    <mergeCell ref="D472:F472"/>
    <mergeCell ref="G472:I472"/>
    <mergeCell ref="J472:L472"/>
    <mergeCell ref="N472:P472"/>
    <mergeCell ref="Q472:S472"/>
    <mergeCell ref="T472:V472"/>
    <mergeCell ref="X472:Z472"/>
    <mergeCell ref="D471:F471"/>
    <mergeCell ref="G471:I471"/>
    <mergeCell ref="J471:L471"/>
    <mergeCell ref="N471:P471"/>
    <mergeCell ref="Q471:S471"/>
    <mergeCell ref="T471:V471"/>
    <mergeCell ref="AD497:AF497"/>
    <mergeCell ref="AD469:AF469"/>
    <mergeCell ref="D470:F470"/>
    <mergeCell ref="G470:I470"/>
    <mergeCell ref="J470:L470"/>
    <mergeCell ref="N470:P470"/>
    <mergeCell ref="Q470:S470"/>
    <mergeCell ref="T470:V470"/>
    <mergeCell ref="X470:Z470"/>
    <mergeCell ref="AA470:AC470"/>
    <mergeCell ref="AD470:AF470"/>
    <mergeCell ref="AA468:AC468"/>
    <mergeCell ref="AD468:AF468"/>
    <mergeCell ref="D469:F469"/>
    <mergeCell ref="G469:I469"/>
    <mergeCell ref="J469:L469"/>
    <mergeCell ref="N469:P469"/>
    <mergeCell ref="Q469:S469"/>
    <mergeCell ref="T469:V469"/>
    <mergeCell ref="X469:Z469"/>
    <mergeCell ref="AA469:AC469"/>
    <mergeCell ref="X467:Z467"/>
    <mergeCell ref="AA467:AC467"/>
    <mergeCell ref="AD467:AF467"/>
    <mergeCell ref="D468:F468"/>
    <mergeCell ref="G468:I468"/>
    <mergeCell ref="J468:L468"/>
    <mergeCell ref="N468:P468"/>
    <mergeCell ref="Q468:S468"/>
    <mergeCell ref="T468:V468"/>
    <mergeCell ref="X468:Z468"/>
    <mergeCell ref="D467:F467"/>
    <mergeCell ref="G467:I467"/>
    <mergeCell ref="J467:L467"/>
    <mergeCell ref="N467:P467"/>
    <mergeCell ref="Q467:S467"/>
    <mergeCell ref="T467:V467"/>
    <mergeCell ref="AD465:AF465"/>
    <mergeCell ref="D466:F466"/>
    <mergeCell ref="G466:I466"/>
    <mergeCell ref="J466:L466"/>
    <mergeCell ref="N466:P466"/>
    <mergeCell ref="Q466:S466"/>
    <mergeCell ref="T466:V466"/>
    <mergeCell ref="X466:Z466"/>
    <mergeCell ref="AA466:AC466"/>
    <mergeCell ref="AD466:AF466"/>
    <mergeCell ref="AA464:AC464"/>
    <mergeCell ref="AD464:AF464"/>
    <mergeCell ref="D465:F465"/>
    <mergeCell ref="G465:I465"/>
    <mergeCell ref="J465:L465"/>
    <mergeCell ref="N465:P465"/>
    <mergeCell ref="Q465:S465"/>
    <mergeCell ref="T465:V465"/>
    <mergeCell ref="X465:Z465"/>
    <mergeCell ref="AA465:AC465"/>
    <mergeCell ref="X463:Z463"/>
    <mergeCell ref="AA463:AC463"/>
    <mergeCell ref="AD463:AF463"/>
    <mergeCell ref="D464:F464"/>
    <mergeCell ref="G464:I464"/>
    <mergeCell ref="J464:L464"/>
    <mergeCell ref="N464:P464"/>
    <mergeCell ref="Q464:S464"/>
    <mergeCell ref="T464:V464"/>
    <mergeCell ref="X464:Z464"/>
    <mergeCell ref="D463:F463"/>
    <mergeCell ref="G463:I463"/>
    <mergeCell ref="J463:L463"/>
    <mergeCell ref="N463:P463"/>
    <mergeCell ref="Q463:S463"/>
    <mergeCell ref="T463:V463"/>
    <mergeCell ref="AD461:AF461"/>
    <mergeCell ref="D462:F462"/>
    <mergeCell ref="G462:I462"/>
    <mergeCell ref="J462:L462"/>
    <mergeCell ref="N462:P462"/>
    <mergeCell ref="Q462:S462"/>
    <mergeCell ref="T462:V462"/>
    <mergeCell ref="X462:Z462"/>
    <mergeCell ref="AA462:AC462"/>
    <mergeCell ref="AD462:AF462"/>
    <mergeCell ref="AA460:AC460"/>
    <mergeCell ref="AD460:AF460"/>
    <mergeCell ref="D461:F461"/>
    <mergeCell ref="G461:I461"/>
    <mergeCell ref="J461:L461"/>
    <mergeCell ref="N461:P461"/>
    <mergeCell ref="Q461:S461"/>
    <mergeCell ref="T461:V461"/>
    <mergeCell ref="X461:Z461"/>
    <mergeCell ref="AA461:AC461"/>
    <mergeCell ref="D460:F460"/>
    <mergeCell ref="G460:I460"/>
    <mergeCell ref="J460:L460"/>
    <mergeCell ref="N460:P460"/>
    <mergeCell ref="Q460:S460"/>
    <mergeCell ref="T460:V460"/>
    <mergeCell ref="X459:Z459"/>
    <mergeCell ref="AA459:AC459"/>
    <mergeCell ref="AD459:AF459"/>
    <mergeCell ref="D458:F458"/>
    <mergeCell ref="G458:I458"/>
    <mergeCell ref="J458:L458"/>
    <mergeCell ref="N458:P458"/>
    <mergeCell ref="Q458:S458"/>
    <mergeCell ref="T458:V458"/>
    <mergeCell ref="AD456:AF456"/>
    <mergeCell ref="D457:F457"/>
    <mergeCell ref="G457:I457"/>
    <mergeCell ref="J457:L457"/>
    <mergeCell ref="N457:P457"/>
    <mergeCell ref="Q457:S457"/>
    <mergeCell ref="T457:V457"/>
    <mergeCell ref="X457:Z457"/>
    <mergeCell ref="AA457:AC457"/>
    <mergeCell ref="AD457:AF457"/>
    <mergeCell ref="AD455:AF455"/>
    <mergeCell ref="D456:F456"/>
    <mergeCell ref="G456:I456"/>
    <mergeCell ref="J456:L456"/>
    <mergeCell ref="N456:P456"/>
    <mergeCell ref="Q456:S456"/>
    <mergeCell ref="T456:V456"/>
    <mergeCell ref="X456:Z456"/>
    <mergeCell ref="AA456:AC456"/>
    <mergeCell ref="X455:Z455"/>
    <mergeCell ref="AA455:AC455"/>
    <mergeCell ref="W452:W472"/>
    <mergeCell ref="X452:Z452"/>
    <mergeCell ref="AA452:AC452"/>
    <mergeCell ref="X454:Z454"/>
    <mergeCell ref="AA454:AC454"/>
    <mergeCell ref="X458:Z458"/>
    <mergeCell ref="AA458:AC458"/>
    <mergeCell ref="X460:Z460"/>
    <mergeCell ref="AD452:AF452"/>
    <mergeCell ref="X453:Z453"/>
    <mergeCell ref="AA453:AC453"/>
    <mergeCell ref="AD453:AF453"/>
    <mergeCell ref="D455:F455"/>
    <mergeCell ref="G455:I455"/>
    <mergeCell ref="J455:L455"/>
    <mergeCell ref="N455:P455"/>
    <mergeCell ref="Q455:S455"/>
    <mergeCell ref="T455:V455"/>
    <mergeCell ref="AD454:AF454"/>
    <mergeCell ref="M452:M472"/>
    <mergeCell ref="AD458:AF458"/>
    <mergeCell ref="N452:P452"/>
    <mergeCell ref="Q452:S452"/>
    <mergeCell ref="T452:V452"/>
    <mergeCell ref="N453:P453"/>
    <mergeCell ref="Q453:S453"/>
    <mergeCell ref="T453:V453"/>
    <mergeCell ref="N454:P454"/>
    <mergeCell ref="Q454:S454"/>
    <mergeCell ref="C452:C472"/>
    <mergeCell ref="D452:F452"/>
    <mergeCell ref="G452:I452"/>
    <mergeCell ref="J452:L452"/>
    <mergeCell ref="D453:F453"/>
    <mergeCell ref="G453:I453"/>
    <mergeCell ref="J453:L453"/>
    <mergeCell ref="D454:F454"/>
    <mergeCell ref="G454:I454"/>
    <mergeCell ref="J454:L454"/>
    <mergeCell ref="T454:V454"/>
    <mergeCell ref="D459:F459"/>
    <mergeCell ref="G459:I459"/>
    <mergeCell ref="J459:L459"/>
    <mergeCell ref="N459:P459"/>
    <mergeCell ref="Q459:S459"/>
    <mergeCell ref="T459:V459"/>
    <mergeCell ref="C498:C519"/>
    <mergeCell ref="D498:F498"/>
    <mergeCell ref="G498:I498"/>
    <mergeCell ref="J498:L498"/>
    <mergeCell ref="M498:M519"/>
    <mergeCell ref="N498:P498"/>
    <mergeCell ref="Q498:S498"/>
    <mergeCell ref="T498:V498"/>
    <mergeCell ref="J499:L499"/>
    <mergeCell ref="N499:P499"/>
    <mergeCell ref="AD499:AF499"/>
    <mergeCell ref="X500:Z500"/>
    <mergeCell ref="AA500:AC500"/>
    <mergeCell ref="AD500:AF500"/>
    <mergeCell ref="AA499:AC499"/>
    <mergeCell ref="Q499:S499"/>
    <mergeCell ref="T499:V499"/>
    <mergeCell ref="Q500:S500"/>
    <mergeCell ref="T500:V500"/>
    <mergeCell ref="Q501:S501"/>
    <mergeCell ref="T501:V501"/>
    <mergeCell ref="D499:F499"/>
    <mergeCell ref="G499:I499"/>
    <mergeCell ref="D501:F501"/>
    <mergeCell ref="G501:I501"/>
    <mergeCell ref="D500:F500"/>
    <mergeCell ref="G500:I500"/>
    <mergeCell ref="J500:L500"/>
    <mergeCell ref="N500:P500"/>
    <mergeCell ref="X501:Z501"/>
    <mergeCell ref="AA501:AC501"/>
    <mergeCell ref="AD501:AF501"/>
    <mergeCell ref="D502:F502"/>
    <mergeCell ref="G502:I502"/>
    <mergeCell ref="J502:L502"/>
    <mergeCell ref="N502:P502"/>
    <mergeCell ref="Q502:S502"/>
    <mergeCell ref="T502:V502"/>
    <mergeCell ref="X502:Z502"/>
    <mergeCell ref="AA502:AC502"/>
    <mergeCell ref="AD502:AF502"/>
    <mergeCell ref="D503:F503"/>
    <mergeCell ref="G503:I503"/>
    <mergeCell ref="J503:L503"/>
    <mergeCell ref="N503:P503"/>
    <mergeCell ref="Q503:S503"/>
    <mergeCell ref="T503:V503"/>
    <mergeCell ref="X503:Z503"/>
    <mergeCell ref="AA503:AC503"/>
    <mergeCell ref="AD503:AF503"/>
    <mergeCell ref="D504:F504"/>
    <mergeCell ref="G504:I504"/>
    <mergeCell ref="J504:L504"/>
    <mergeCell ref="N504:P504"/>
    <mergeCell ref="Q504:S504"/>
    <mergeCell ref="T504:V504"/>
    <mergeCell ref="X504:Z504"/>
    <mergeCell ref="AA504:AC504"/>
    <mergeCell ref="AD504:AF504"/>
    <mergeCell ref="D506:F506"/>
    <mergeCell ref="G506:I506"/>
    <mergeCell ref="J506:L506"/>
    <mergeCell ref="N506:P506"/>
    <mergeCell ref="T505:V505"/>
    <mergeCell ref="X505:Z505"/>
    <mergeCell ref="D505:F505"/>
    <mergeCell ref="G505:I505"/>
    <mergeCell ref="J505:L505"/>
    <mergeCell ref="N505:P505"/>
    <mergeCell ref="AD505:AF505"/>
    <mergeCell ref="Q506:S506"/>
    <mergeCell ref="T506:V506"/>
    <mergeCell ref="X506:Z506"/>
    <mergeCell ref="AA506:AC506"/>
    <mergeCell ref="AD506:AF506"/>
    <mergeCell ref="Q505:S505"/>
    <mergeCell ref="AA505:AC505"/>
    <mergeCell ref="G507:I507"/>
    <mergeCell ref="J507:L507"/>
    <mergeCell ref="N507:P507"/>
    <mergeCell ref="AD507:AF507"/>
    <mergeCell ref="T509:V509"/>
    <mergeCell ref="D510:F510"/>
    <mergeCell ref="G510:I510"/>
    <mergeCell ref="J510:L510"/>
    <mergeCell ref="N510:P510"/>
    <mergeCell ref="Q510:S510"/>
    <mergeCell ref="T510:V510"/>
    <mergeCell ref="X510:Z510"/>
    <mergeCell ref="AA510:AC510"/>
    <mergeCell ref="AD510:AF510"/>
    <mergeCell ref="D511:F511"/>
    <mergeCell ref="G511:I511"/>
    <mergeCell ref="J511:L511"/>
    <mergeCell ref="N511:P511"/>
    <mergeCell ref="Q511:S511"/>
    <mergeCell ref="T511:V511"/>
    <mergeCell ref="X511:Z511"/>
    <mergeCell ref="AA511:AC511"/>
    <mergeCell ref="AD511:AF511"/>
    <mergeCell ref="J508:L509"/>
    <mergeCell ref="AA508:AC509"/>
    <mergeCell ref="AD508:AF509"/>
    <mergeCell ref="T508:V508"/>
    <mergeCell ref="G517:I517"/>
    <mergeCell ref="J517:L517"/>
    <mergeCell ref="N517:P517"/>
    <mergeCell ref="Q517:S517"/>
    <mergeCell ref="T517:V517"/>
    <mergeCell ref="D512:F512"/>
    <mergeCell ref="G512:I512"/>
    <mergeCell ref="J512:L512"/>
    <mergeCell ref="N512:P512"/>
    <mergeCell ref="AD512:AF512"/>
    <mergeCell ref="D513:F513"/>
    <mergeCell ref="G513:I513"/>
    <mergeCell ref="J513:L513"/>
    <mergeCell ref="N513:P513"/>
    <mergeCell ref="Q513:S513"/>
    <mergeCell ref="T513:V513"/>
    <mergeCell ref="X513:Z513"/>
    <mergeCell ref="AA513:AC513"/>
    <mergeCell ref="AD513:AF513"/>
    <mergeCell ref="T514:V514"/>
    <mergeCell ref="X514:Z514"/>
    <mergeCell ref="AA514:AC514"/>
    <mergeCell ref="D514:F514"/>
    <mergeCell ref="G514:I514"/>
    <mergeCell ref="J514:L514"/>
    <mergeCell ref="N514:P514"/>
    <mergeCell ref="AD514:AF514"/>
    <mergeCell ref="M450:P451"/>
    <mergeCell ref="Q518:S518"/>
    <mergeCell ref="AD516:AF516"/>
    <mergeCell ref="X517:Z517"/>
    <mergeCell ref="AA517:AC517"/>
    <mergeCell ref="AD517:AF517"/>
    <mergeCell ref="T450:V450"/>
    <mergeCell ref="W450:Z451"/>
    <mergeCell ref="AA450:AC450"/>
    <mergeCell ref="AD450:AF450"/>
    <mergeCell ref="T451:V451"/>
    <mergeCell ref="AA451:AC451"/>
    <mergeCell ref="AD451:AF451"/>
    <mergeCell ref="G451:I451"/>
    <mergeCell ref="J451:L451"/>
    <mergeCell ref="D515:F515"/>
    <mergeCell ref="G515:I515"/>
    <mergeCell ref="J515:L515"/>
    <mergeCell ref="N515:P515"/>
    <mergeCell ref="Q515:S515"/>
    <mergeCell ref="T515:V515"/>
    <mergeCell ref="X515:Z515"/>
    <mergeCell ref="AA515:AC515"/>
    <mergeCell ref="AD515:AF515"/>
    <mergeCell ref="T516:V516"/>
    <mergeCell ref="X516:Z516"/>
    <mergeCell ref="AA516:AC516"/>
    <mergeCell ref="D516:F516"/>
    <mergeCell ref="G516:I516"/>
    <mergeCell ref="J516:L516"/>
    <mergeCell ref="N516:P516"/>
    <mergeCell ref="D517:F517"/>
    <mergeCell ref="D519:F519"/>
    <mergeCell ref="G519:I519"/>
    <mergeCell ref="J519:L519"/>
    <mergeCell ref="G450:I450"/>
    <mergeCell ref="J450:L450"/>
    <mergeCell ref="D518:F518"/>
    <mergeCell ref="D507:F507"/>
    <mergeCell ref="G508:I509"/>
    <mergeCell ref="AA425:AC425"/>
    <mergeCell ref="AD425:AF425"/>
    <mergeCell ref="N519:P519"/>
    <mergeCell ref="Q519:S519"/>
    <mergeCell ref="D508:F509"/>
    <mergeCell ref="N508:P509"/>
    <mergeCell ref="Q514:S514"/>
    <mergeCell ref="Q512:S512"/>
    <mergeCell ref="Q508:S509"/>
    <mergeCell ref="C450:F451"/>
    <mergeCell ref="C405:C425"/>
    <mergeCell ref="Q450:S450"/>
    <mergeCell ref="Q451:S451"/>
    <mergeCell ref="G518:I518"/>
    <mergeCell ref="J518:L518"/>
    <mergeCell ref="N518:P518"/>
    <mergeCell ref="Q516:S516"/>
    <mergeCell ref="Q507:S507"/>
    <mergeCell ref="J501:L501"/>
    <mergeCell ref="N501:P501"/>
    <mergeCell ref="T518:V518"/>
    <mergeCell ref="X518:Z518"/>
    <mergeCell ref="AA518:AC518"/>
    <mergeCell ref="AD518:AF518"/>
    <mergeCell ref="X424:Z424"/>
    <mergeCell ref="AA424:AC424"/>
    <mergeCell ref="AD424:AF424"/>
    <mergeCell ref="D425:F425"/>
    <mergeCell ref="G425:I425"/>
    <mergeCell ref="J425:L425"/>
    <mergeCell ref="N425:P425"/>
    <mergeCell ref="Q425:S425"/>
    <mergeCell ref="T425:V425"/>
    <mergeCell ref="X425:Z425"/>
    <mergeCell ref="D424:F424"/>
    <mergeCell ref="G424:I424"/>
    <mergeCell ref="J424:L424"/>
    <mergeCell ref="N424:P424"/>
    <mergeCell ref="Q424:S424"/>
    <mergeCell ref="T424:V424"/>
    <mergeCell ref="AD422:AF422"/>
    <mergeCell ref="D423:F423"/>
    <mergeCell ref="G423:I423"/>
    <mergeCell ref="J423:L423"/>
    <mergeCell ref="N423:P423"/>
    <mergeCell ref="Q423:S423"/>
    <mergeCell ref="T423:V423"/>
    <mergeCell ref="X423:Z423"/>
    <mergeCell ref="AA423:AC423"/>
    <mergeCell ref="AD423:AF423"/>
    <mergeCell ref="AA421:AC421"/>
    <mergeCell ref="AD421:AF421"/>
    <mergeCell ref="D422:F422"/>
    <mergeCell ref="G422:I422"/>
    <mergeCell ref="J422:L422"/>
    <mergeCell ref="N422:P422"/>
    <mergeCell ref="Q422:S422"/>
    <mergeCell ref="T422:V422"/>
    <mergeCell ref="X422:Z422"/>
    <mergeCell ref="AA422:AC422"/>
    <mergeCell ref="X420:Z420"/>
    <mergeCell ref="AA420:AC420"/>
    <mergeCell ref="AD420:AF420"/>
    <mergeCell ref="D421:F421"/>
    <mergeCell ref="G421:I421"/>
    <mergeCell ref="J421:L421"/>
    <mergeCell ref="N421:P421"/>
    <mergeCell ref="Q421:S421"/>
    <mergeCell ref="T421:V421"/>
    <mergeCell ref="X421:Z421"/>
    <mergeCell ref="D420:F420"/>
    <mergeCell ref="G420:I420"/>
    <mergeCell ref="J420:L420"/>
    <mergeCell ref="N420:P420"/>
    <mergeCell ref="Q420:S420"/>
    <mergeCell ref="T420:V420"/>
    <mergeCell ref="AD418:AF418"/>
    <mergeCell ref="D419:F419"/>
    <mergeCell ref="G419:I419"/>
    <mergeCell ref="J419:L419"/>
    <mergeCell ref="N419:P419"/>
    <mergeCell ref="Q419:S419"/>
    <mergeCell ref="T419:V419"/>
    <mergeCell ref="X419:Z419"/>
    <mergeCell ref="AA419:AC419"/>
    <mergeCell ref="AD419:AF419"/>
    <mergeCell ref="AA417:AC417"/>
    <mergeCell ref="AD417:AF417"/>
    <mergeCell ref="D418:F418"/>
    <mergeCell ref="G418:I418"/>
    <mergeCell ref="J418:L418"/>
    <mergeCell ref="N418:P418"/>
    <mergeCell ref="Q418:S418"/>
    <mergeCell ref="T418:V418"/>
    <mergeCell ref="X418:Z418"/>
    <mergeCell ref="AA418:AC418"/>
    <mergeCell ref="X416:Z416"/>
    <mergeCell ref="AA416:AC416"/>
    <mergeCell ref="AD416:AF416"/>
    <mergeCell ref="D417:F417"/>
    <mergeCell ref="G417:I417"/>
    <mergeCell ref="J417:L417"/>
    <mergeCell ref="N417:P417"/>
    <mergeCell ref="Q417:S417"/>
    <mergeCell ref="T417:V417"/>
    <mergeCell ref="X417:Z417"/>
    <mergeCell ref="D416:F416"/>
    <mergeCell ref="G416:I416"/>
    <mergeCell ref="J416:L416"/>
    <mergeCell ref="N416:P416"/>
    <mergeCell ref="Q416:S416"/>
    <mergeCell ref="T416:V416"/>
    <mergeCell ref="AD414:AF414"/>
    <mergeCell ref="D415:F415"/>
    <mergeCell ref="G415:I415"/>
    <mergeCell ref="J415:L415"/>
    <mergeCell ref="N415:P415"/>
    <mergeCell ref="Q415:S415"/>
    <mergeCell ref="T415:V415"/>
    <mergeCell ref="X415:Z415"/>
    <mergeCell ref="AA415:AC415"/>
    <mergeCell ref="AD415:AF415"/>
    <mergeCell ref="N414:P414"/>
    <mergeCell ref="Q414:S414"/>
    <mergeCell ref="T414:V414"/>
    <mergeCell ref="X414:Z414"/>
    <mergeCell ref="AA414:AC414"/>
    <mergeCell ref="D413:F413"/>
    <mergeCell ref="G413:I413"/>
    <mergeCell ref="J413:L413"/>
    <mergeCell ref="N413:P413"/>
    <mergeCell ref="Q413:S413"/>
    <mergeCell ref="T413:V413"/>
    <mergeCell ref="AD411:AF411"/>
    <mergeCell ref="D412:F412"/>
    <mergeCell ref="G412:I412"/>
    <mergeCell ref="J412:L412"/>
    <mergeCell ref="N412:P412"/>
    <mergeCell ref="Q412:S412"/>
    <mergeCell ref="T412:V412"/>
    <mergeCell ref="X412:Z412"/>
    <mergeCell ref="AA412:AC412"/>
    <mergeCell ref="AD412:AF412"/>
    <mergeCell ref="D411:F411"/>
    <mergeCell ref="G411:I411"/>
    <mergeCell ref="J411:L411"/>
    <mergeCell ref="N411:P411"/>
    <mergeCell ref="Q411:S411"/>
    <mergeCell ref="T411:V411"/>
    <mergeCell ref="Q410:S410"/>
    <mergeCell ref="T410:V410"/>
    <mergeCell ref="X410:Z410"/>
    <mergeCell ref="AA410:AC410"/>
    <mergeCell ref="AD410:AF410"/>
    <mergeCell ref="T407:V407"/>
    <mergeCell ref="AD408:AF408"/>
    <mergeCell ref="D409:F409"/>
    <mergeCell ref="G409:I409"/>
    <mergeCell ref="J409:L409"/>
    <mergeCell ref="N409:P409"/>
    <mergeCell ref="Q409:S409"/>
    <mergeCell ref="T409:V409"/>
    <mergeCell ref="X409:Z409"/>
    <mergeCell ref="AA409:AC409"/>
    <mergeCell ref="X408:Z408"/>
    <mergeCell ref="AA408:AC408"/>
    <mergeCell ref="W405:W425"/>
    <mergeCell ref="X405:Z405"/>
    <mergeCell ref="AA405:AC405"/>
    <mergeCell ref="X407:Z407"/>
    <mergeCell ref="AA407:AC407"/>
    <mergeCell ref="X411:Z411"/>
    <mergeCell ref="AA411:AC411"/>
    <mergeCell ref="X413:Z413"/>
    <mergeCell ref="AD405:AF405"/>
    <mergeCell ref="X406:Z406"/>
    <mergeCell ref="AA413:AC413"/>
    <mergeCell ref="AD413:AF413"/>
    <mergeCell ref="D414:F414"/>
    <mergeCell ref="G414:I414"/>
    <mergeCell ref="J414:L414"/>
    <mergeCell ref="AA406:AC406"/>
    <mergeCell ref="AD406:AF406"/>
    <mergeCell ref="D408:F408"/>
    <mergeCell ref="G408:I408"/>
    <mergeCell ref="J408:L408"/>
    <mergeCell ref="N408:P408"/>
    <mergeCell ref="Q408:S408"/>
    <mergeCell ref="T408:V408"/>
    <mergeCell ref="AD407:AF407"/>
    <mergeCell ref="M405:M425"/>
    <mergeCell ref="N405:P405"/>
    <mergeCell ref="Q405:S405"/>
    <mergeCell ref="T405:V405"/>
    <mergeCell ref="N406:P406"/>
    <mergeCell ref="Q406:S406"/>
    <mergeCell ref="T406:V406"/>
    <mergeCell ref="N407:P407"/>
    <mergeCell ref="Q407:S407"/>
    <mergeCell ref="D405:F405"/>
    <mergeCell ref="G405:I405"/>
    <mergeCell ref="J405:L405"/>
    <mergeCell ref="D406:F406"/>
    <mergeCell ref="G406:I406"/>
    <mergeCell ref="J406:L406"/>
    <mergeCell ref="D407:F407"/>
    <mergeCell ref="G407:I407"/>
    <mergeCell ref="J407:L407"/>
    <mergeCell ref="AD409:AF409"/>
    <mergeCell ref="D410:F410"/>
    <mergeCell ref="G410:I410"/>
    <mergeCell ref="J410:L410"/>
    <mergeCell ref="N410:P410"/>
    <mergeCell ref="Q404:S404"/>
    <mergeCell ref="T404:V404"/>
    <mergeCell ref="AA404:AC404"/>
    <mergeCell ref="AD404:AF404"/>
    <mergeCell ref="Q403:S403"/>
    <mergeCell ref="T403:V403"/>
    <mergeCell ref="W403:Z404"/>
    <mergeCell ref="AC253:AE253"/>
    <mergeCell ref="AC254:AE254"/>
    <mergeCell ref="AA403:AC403"/>
    <mergeCell ref="C403:F404"/>
    <mergeCell ref="G403:I403"/>
    <mergeCell ref="J403:L403"/>
    <mergeCell ref="M403:P404"/>
    <mergeCell ref="AD403:AF403"/>
    <mergeCell ref="G404:I404"/>
    <mergeCell ref="J404:L404"/>
    <mergeCell ref="V259:AB259"/>
    <mergeCell ref="AC259:AE259"/>
    <mergeCell ref="AC257:AE257"/>
    <mergeCell ref="AC258:AE258"/>
    <mergeCell ref="AC255:AE255"/>
    <mergeCell ref="AC256:AE256"/>
    <mergeCell ref="C258:E258"/>
    <mergeCell ref="F258:H258"/>
    <mergeCell ref="I258:K258"/>
    <mergeCell ref="M258:O258"/>
    <mergeCell ref="Q262:S262"/>
    <mergeCell ref="W262:Y262"/>
    <mergeCell ref="B259:H259"/>
    <mergeCell ref="I259:K259"/>
    <mergeCell ref="L259:R259"/>
    <mergeCell ref="S259:U259"/>
    <mergeCell ref="P257:R257"/>
    <mergeCell ref="S257:U257"/>
    <mergeCell ref="W257:Y257"/>
    <mergeCell ref="Z257:AB257"/>
    <mergeCell ref="P258:R258"/>
    <mergeCell ref="S258:U258"/>
    <mergeCell ref="W258:Y258"/>
    <mergeCell ref="Z258:AB258"/>
    <mergeCell ref="C256:E256"/>
    <mergeCell ref="F256:H256"/>
    <mergeCell ref="I256:K256"/>
    <mergeCell ref="M256:O256"/>
    <mergeCell ref="C257:E257"/>
    <mergeCell ref="F257:H257"/>
    <mergeCell ref="I257:K257"/>
    <mergeCell ref="M257:O257"/>
    <mergeCell ref="W255:Y255"/>
    <mergeCell ref="Z255:AB255"/>
    <mergeCell ref="P256:R256"/>
    <mergeCell ref="S256:U256"/>
    <mergeCell ref="W256:Y256"/>
    <mergeCell ref="Z256:AB256"/>
    <mergeCell ref="C255:E255"/>
    <mergeCell ref="F255:H255"/>
    <mergeCell ref="I255:K255"/>
    <mergeCell ref="M255:O255"/>
    <mergeCell ref="P255:R255"/>
    <mergeCell ref="S255:U255"/>
    <mergeCell ref="Z253:AB253"/>
    <mergeCell ref="P254:R254"/>
    <mergeCell ref="S254:U254"/>
    <mergeCell ref="W254:Y254"/>
    <mergeCell ref="Z254:AB254"/>
    <mergeCell ref="C254:E254"/>
    <mergeCell ref="F254:H254"/>
    <mergeCell ref="I254:K254"/>
    <mergeCell ref="M254:O254"/>
    <mergeCell ref="C248:E248"/>
    <mergeCell ref="F248:H248"/>
    <mergeCell ref="I248:K248"/>
    <mergeCell ref="M248:O248"/>
    <mergeCell ref="P248:R248"/>
    <mergeCell ref="S248:U248"/>
    <mergeCell ref="W252:Y252"/>
    <mergeCell ref="Z252:AB252"/>
    <mergeCell ref="AC252:AE252"/>
    <mergeCell ref="C253:E253"/>
    <mergeCell ref="F253:H253"/>
    <mergeCell ref="I253:K253"/>
    <mergeCell ref="M253:O253"/>
    <mergeCell ref="P253:R253"/>
    <mergeCell ref="S253:U253"/>
    <mergeCell ref="W253:Y253"/>
    <mergeCell ref="C252:E252"/>
    <mergeCell ref="F252:H252"/>
    <mergeCell ref="I252:K252"/>
    <mergeCell ref="M252:O252"/>
    <mergeCell ref="P252:R252"/>
    <mergeCell ref="S252:U252"/>
    <mergeCell ref="AC250:AE250"/>
    <mergeCell ref="C251:E251"/>
    <mergeCell ref="F251:H251"/>
    <mergeCell ref="I251:K251"/>
    <mergeCell ref="M251:O251"/>
    <mergeCell ref="P251:R251"/>
    <mergeCell ref="S251:U251"/>
    <mergeCell ref="W251:Y251"/>
    <mergeCell ref="Z251:AB251"/>
    <mergeCell ref="AC251:AE251"/>
    <mergeCell ref="I246:K246"/>
    <mergeCell ref="M246:O246"/>
    <mergeCell ref="P246:R246"/>
    <mergeCell ref="S246:U246"/>
    <mergeCell ref="W246:Y246"/>
    <mergeCell ref="Z246:AB246"/>
    <mergeCell ref="C245:E245"/>
    <mergeCell ref="F245:H245"/>
    <mergeCell ref="I245:K245"/>
    <mergeCell ref="M245:O245"/>
    <mergeCell ref="P245:R245"/>
    <mergeCell ref="S245:U245"/>
    <mergeCell ref="Z249:AB249"/>
    <mergeCell ref="AC249:AE249"/>
    <mergeCell ref="C250:E250"/>
    <mergeCell ref="F250:H250"/>
    <mergeCell ref="I250:K250"/>
    <mergeCell ref="M250:O250"/>
    <mergeCell ref="P250:R250"/>
    <mergeCell ref="S250:U250"/>
    <mergeCell ref="W250:Y250"/>
    <mergeCell ref="Z250:AB250"/>
    <mergeCell ref="W248:Y248"/>
    <mergeCell ref="Z248:AB248"/>
    <mergeCell ref="AC248:AE248"/>
    <mergeCell ref="C249:E249"/>
    <mergeCell ref="F249:H249"/>
    <mergeCell ref="I249:K249"/>
    <mergeCell ref="M249:O249"/>
    <mergeCell ref="P249:R249"/>
    <mergeCell ref="S249:U249"/>
    <mergeCell ref="W249:Y249"/>
    <mergeCell ref="P243:R243"/>
    <mergeCell ref="S243:U243"/>
    <mergeCell ref="AC241:AE241"/>
    <mergeCell ref="C242:E242"/>
    <mergeCell ref="F242:H242"/>
    <mergeCell ref="I242:K242"/>
    <mergeCell ref="M242:O242"/>
    <mergeCell ref="P242:R242"/>
    <mergeCell ref="S242:U242"/>
    <mergeCell ref="W242:Y242"/>
    <mergeCell ref="Z242:AB242"/>
    <mergeCell ref="AC242:AE242"/>
    <mergeCell ref="W241:Y241"/>
    <mergeCell ref="Z241:AB241"/>
    <mergeCell ref="V238:V258"/>
    <mergeCell ref="W238:Y238"/>
    <mergeCell ref="Z238:AB238"/>
    <mergeCell ref="W240:Y240"/>
    <mergeCell ref="AC246:AE246"/>
    <mergeCell ref="C247:E247"/>
    <mergeCell ref="F247:H247"/>
    <mergeCell ref="I247:K247"/>
    <mergeCell ref="M247:O247"/>
    <mergeCell ref="P247:R247"/>
    <mergeCell ref="S247:U247"/>
    <mergeCell ref="W247:Y247"/>
    <mergeCell ref="Z247:AB247"/>
    <mergeCell ref="AC247:AE247"/>
    <mergeCell ref="Z245:AB245"/>
    <mergeCell ref="AC245:AE245"/>
    <mergeCell ref="C246:E246"/>
    <mergeCell ref="F246:H246"/>
    <mergeCell ref="S239:U239"/>
    <mergeCell ref="M240:O240"/>
    <mergeCell ref="P240:R240"/>
    <mergeCell ref="AC238:AE238"/>
    <mergeCell ref="W239:Y239"/>
    <mergeCell ref="Z239:AB239"/>
    <mergeCell ref="AC239:AE239"/>
    <mergeCell ref="S240:U240"/>
    <mergeCell ref="F239:H239"/>
    <mergeCell ref="I239:K239"/>
    <mergeCell ref="C240:E240"/>
    <mergeCell ref="F240:H240"/>
    <mergeCell ref="I240:K240"/>
    <mergeCell ref="AC240:AE240"/>
    <mergeCell ref="L238:L258"/>
    <mergeCell ref="M238:O238"/>
    <mergeCell ref="P238:R238"/>
    <mergeCell ref="S238:U238"/>
    <mergeCell ref="AC243:AE243"/>
    <mergeCell ref="C244:E244"/>
    <mergeCell ref="F244:H244"/>
    <mergeCell ref="I244:K244"/>
    <mergeCell ref="M244:O244"/>
    <mergeCell ref="P244:R244"/>
    <mergeCell ref="S244:U244"/>
    <mergeCell ref="W244:Y244"/>
    <mergeCell ref="Z244:AB244"/>
    <mergeCell ref="AC244:AE244"/>
    <mergeCell ref="C243:E243"/>
    <mergeCell ref="F243:H243"/>
    <mergeCell ref="I243:K243"/>
    <mergeCell ref="M243:O243"/>
    <mergeCell ref="Z237:AB237"/>
    <mergeCell ref="AC237:AE237"/>
    <mergeCell ref="P236:R236"/>
    <mergeCell ref="S236:U236"/>
    <mergeCell ref="V236:Y237"/>
    <mergeCell ref="B238:B258"/>
    <mergeCell ref="C238:E238"/>
    <mergeCell ref="F238:H238"/>
    <mergeCell ref="I238:K238"/>
    <mergeCell ref="C239:E239"/>
    <mergeCell ref="Z236:AB236"/>
    <mergeCell ref="B236:E237"/>
    <mergeCell ref="F236:H236"/>
    <mergeCell ref="I236:K236"/>
    <mergeCell ref="L236:O237"/>
    <mergeCell ref="AC236:AE236"/>
    <mergeCell ref="F237:H237"/>
    <mergeCell ref="I237:K237"/>
    <mergeCell ref="P237:R237"/>
    <mergeCell ref="S237:U237"/>
    <mergeCell ref="Z240:AB240"/>
    <mergeCell ref="W243:Y243"/>
    <mergeCell ref="Z243:AB243"/>
    <mergeCell ref="W245:Y245"/>
    <mergeCell ref="C241:E241"/>
    <mergeCell ref="F241:H241"/>
    <mergeCell ref="I241:K241"/>
    <mergeCell ref="M241:O241"/>
    <mergeCell ref="P241:R241"/>
    <mergeCell ref="S241:U241"/>
    <mergeCell ref="M239:O239"/>
    <mergeCell ref="P239:R239"/>
    <mergeCell ref="Q211:S211"/>
    <mergeCell ref="W211:Y211"/>
    <mergeCell ref="L233:N233"/>
    <mergeCell ref="L234:N234"/>
    <mergeCell ref="L232:N232"/>
    <mergeCell ref="S233:U233"/>
    <mergeCell ref="S234:U234"/>
    <mergeCell ref="AC207:AE207"/>
    <mergeCell ref="B208:H208"/>
    <mergeCell ref="I208:K208"/>
    <mergeCell ref="L208:R208"/>
    <mergeCell ref="S208:U208"/>
    <mergeCell ref="V208:AB208"/>
    <mergeCell ref="AC208:AE208"/>
    <mergeCell ref="Z206:AB206"/>
    <mergeCell ref="AC206:AE206"/>
    <mergeCell ref="C207:E207"/>
    <mergeCell ref="F207:H207"/>
    <mergeCell ref="I207:K207"/>
    <mergeCell ref="M207:O207"/>
    <mergeCell ref="P207:R207"/>
    <mergeCell ref="S207:U207"/>
    <mergeCell ref="W207:Y207"/>
    <mergeCell ref="Z207:AB207"/>
    <mergeCell ref="B187:B207"/>
    <mergeCell ref="W205:Y205"/>
    <mergeCell ref="Z205:AB205"/>
    <mergeCell ref="AC205:AE205"/>
    <mergeCell ref="C206:E206"/>
    <mergeCell ref="F206:H206"/>
    <mergeCell ref="I206:K206"/>
    <mergeCell ref="M206:O206"/>
    <mergeCell ref="P206:R206"/>
    <mergeCell ref="S206:U206"/>
    <mergeCell ref="W206:Y206"/>
    <mergeCell ref="C205:E205"/>
    <mergeCell ref="F205:H205"/>
    <mergeCell ref="I205:K205"/>
    <mergeCell ref="M205:O205"/>
    <mergeCell ref="P205:R205"/>
    <mergeCell ref="S205:U205"/>
    <mergeCell ref="AC203:AE203"/>
    <mergeCell ref="C204:E204"/>
    <mergeCell ref="F204:H204"/>
    <mergeCell ref="I204:K204"/>
    <mergeCell ref="M204:O204"/>
    <mergeCell ref="P204:R204"/>
    <mergeCell ref="S204:U204"/>
    <mergeCell ref="W204:Y204"/>
    <mergeCell ref="Z204:AB204"/>
    <mergeCell ref="AC204:AE204"/>
    <mergeCell ref="Z202:AB202"/>
    <mergeCell ref="AC202:AE202"/>
    <mergeCell ref="C203:E203"/>
    <mergeCell ref="F203:H203"/>
    <mergeCell ref="I203:K203"/>
    <mergeCell ref="M203:O203"/>
    <mergeCell ref="P203:R203"/>
    <mergeCell ref="S203:U203"/>
    <mergeCell ref="W203:Y203"/>
    <mergeCell ref="Z203:AB203"/>
    <mergeCell ref="W201:Y201"/>
    <mergeCell ref="Z201:AB201"/>
    <mergeCell ref="AC201:AE201"/>
    <mergeCell ref="C202:E202"/>
    <mergeCell ref="F202:H202"/>
    <mergeCell ref="I202:K202"/>
    <mergeCell ref="M202:O202"/>
    <mergeCell ref="P202:R202"/>
    <mergeCell ref="S202:U202"/>
    <mergeCell ref="W202:Y202"/>
    <mergeCell ref="C201:E201"/>
    <mergeCell ref="F201:H201"/>
    <mergeCell ref="I201:K201"/>
    <mergeCell ref="M201:O201"/>
    <mergeCell ref="P201:R201"/>
    <mergeCell ref="S201:U201"/>
    <mergeCell ref="AC199:AE199"/>
    <mergeCell ref="C200:E200"/>
    <mergeCell ref="F200:H200"/>
    <mergeCell ref="I200:K200"/>
    <mergeCell ref="M200:O200"/>
    <mergeCell ref="P200:R200"/>
    <mergeCell ref="S200:U200"/>
    <mergeCell ref="W200:Y200"/>
    <mergeCell ref="Z200:AB200"/>
    <mergeCell ref="AC200:AE200"/>
    <mergeCell ref="Z198:AB198"/>
    <mergeCell ref="AC198:AE198"/>
    <mergeCell ref="C199:E199"/>
    <mergeCell ref="F199:H199"/>
    <mergeCell ref="I199:K199"/>
    <mergeCell ref="M199:O199"/>
    <mergeCell ref="P199:R199"/>
    <mergeCell ref="S199:U199"/>
    <mergeCell ref="W199:Y199"/>
    <mergeCell ref="Z199:AB199"/>
    <mergeCell ref="W197:Y197"/>
    <mergeCell ref="Z197:AB197"/>
    <mergeCell ref="AC197:AE197"/>
    <mergeCell ref="C198:E198"/>
    <mergeCell ref="F198:H198"/>
    <mergeCell ref="I198:K198"/>
    <mergeCell ref="M198:O198"/>
    <mergeCell ref="P198:R198"/>
    <mergeCell ref="S198:U198"/>
    <mergeCell ref="W198:Y198"/>
    <mergeCell ref="C197:E197"/>
    <mergeCell ref="F197:H197"/>
    <mergeCell ref="I197:K197"/>
    <mergeCell ref="M197:O197"/>
    <mergeCell ref="P197:R197"/>
    <mergeCell ref="S197:U197"/>
    <mergeCell ref="AC195:AE195"/>
    <mergeCell ref="C196:E196"/>
    <mergeCell ref="F196:H196"/>
    <mergeCell ref="I196:K196"/>
    <mergeCell ref="M196:O196"/>
    <mergeCell ref="P196:R196"/>
    <mergeCell ref="S196:U196"/>
    <mergeCell ref="W196:Y196"/>
    <mergeCell ref="Z196:AB196"/>
    <mergeCell ref="AC196:AE196"/>
    <mergeCell ref="Z194:AB194"/>
    <mergeCell ref="AC194:AE194"/>
    <mergeCell ref="C195:E195"/>
    <mergeCell ref="F195:H195"/>
    <mergeCell ref="I195:K195"/>
    <mergeCell ref="M195:O195"/>
    <mergeCell ref="P195:R195"/>
    <mergeCell ref="S195:U195"/>
    <mergeCell ref="W195:Y195"/>
    <mergeCell ref="Z195:AB195"/>
    <mergeCell ref="C194:E194"/>
    <mergeCell ref="F194:H194"/>
    <mergeCell ref="I194:K194"/>
    <mergeCell ref="M194:O194"/>
    <mergeCell ref="P194:R194"/>
    <mergeCell ref="S194:U194"/>
    <mergeCell ref="AC192:AE192"/>
    <mergeCell ref="C193:E193"/>
    <mergeCell ref="F193:H193"/>
    <mergeCell ref="I193:K193"/>
    <mergeCell ref="M193:O193"/>
    <mergeCell ref="P193:R193"/>
    <mergeCell ref="S193:U193"/>
    <mergeCell ref="W193:Y193"/>
    <mergeCell ref="Z193:AB193"/>
    <mergeCell ref="AC193:AE193"/>
    <mergeCell ref="C192:E192"/>
    <mergeCell ref="F192:H192"/>
    <mergeCell ref="I192:K192"/>
    <mergeCell ref="M192:O192"/>
    <mergeCell ref="P192:R192"/>
    <mergeCell ref="S192:U192"/>
    <mergeCell ref="AC190:AE190"/>
    <mergeCell ref="C191:E191"/>
    <mergeCell ref="F191:H191"/>
    <mergeCell ref="I191:K191"/>
    <mergeCell ref="M191:O191"/>
    <mergeCell ref="P191:R191"/>
    <mergeCell ref="S191:U191"/>
    <mergeCell ref="W191:Y191"/>
    <mergeCell ref="Z191:AB191"/>
    <mergeCell ref="AC191:AE191"/>
    <mergeCell ref="W190:Y190"/>
    <mergeCell ref="Z190:AB190"/>
    <mergeCell ref="V187:V207"/>
    <mergeCell ref="W187:Y187"/>
    <mergeCell ref="Z187:AB187"/>
    <mergeCell ref="W189:Y189"/>
    <mergeCell ref="Z189:AB189"/>
    <mergeCell ref="W192:Y192"/>
    <mergeCell ref="Z192:AB192"/>
    <mergeCell ref="W194:Y194"/>
    <mergeCell ref="C190:E190"/>
    <mergeCell ref="F190:H190"/>
    <mergeCell ref="I190:K190"/>
    <mergeCell ref="M190:O190"/>
    <mergeCell ref="P190:R190"/>
    <mergeCell ref="S190:U190"/>
    <mergeCell ref="M188:O188"/>
    <mergeCell ref="P188:R188"/>
    <mergeCell ref="S188:U188"/>
    <mergeCell ref="M189:O189"/>
    <mergeCell ref="P189:R189"/>
    <mergeCell ref="AC187:AE187"/>
    <mergeCell ref="W188:Y188"/>
    <mergeCell ref="Z188:AB188"/>
    <mergeCell ref="AC188:AE188"/>
    <mergeCell ref="S189:U189"/>
    <mergeCell ref="F188:H188"/>
    <mergeCell ref="I188:K188"/>
    <mergeCell ref="C189:E189"/>
    <mergeCell ref="F189:H189"/>
    <mergeCell ref="I189:K189"/>
    <mergeCell ref="AC189:AE189"/>
    <mergeCell ref="L187:L207"/>
    <mergeCell ref="M187:O187"/>
    <mergeCell ref="P187:R187"/>
    <mergeCell ref="S187:U187"/>
    <mergeCell ref="Z186:AB186"/>
    <mergeCell ref="AC186:AE186"/>
    <mergeCell ref="P185:R185"/>
    <mergeCell ref="S185:U185"/>
    <mergeCell ref="V185:Y186"/>
    <mergeCell ref="C187:E187"/>
    <mergeCell ref="F187:H187"/>
    <mergeCell ref="I187:K187"/>
    <mergeCell ref="C188:E188"/>
    <mergeCell ref="Z185:AB185"/>
    <mergeCell ref="B185:E186"/>
    <mergeCell ref="F185:H185"/>
    <mergeCell ref="I185:K185"/>
    <mergeCell ref="L185:O186"/>
    <mergeCell ref="AC185:AE185"/>
    <mergeCell ref="F186:H186"/>
    <mergeCell ref="I186:K186"/>
    <mergeCell ref="P186:R186"/>
    <mergeCell ref="S186:U186"/>
    <mergeCell ref="Q156:S156"/>
    <mergeCell ref="W156:Y156"/>
    <mergeCell ref="L182:N182"/>
    <mergeCell ref="L183:N183"/>
    <mergeCell ref="L181:N181"/>
    <mergeCell ref="S182:U182"/>
    <mergeCell ref="S183:U183"/>
    <mergeCell ref="W157:AB157"/>
    <mergeCell ref="W158:AA158"/>
    <mergeCell ref="AC152:AE152"/>
    <mergeCell ref="B153:H153"/>
    <mergeCell ref="I153:K153"/>
    <mergeCell ref="L153:R153"/>
    <mergeCell ref="S153:U153"/>
    <mergeCell ref="V153:AB153"/>
    <mergeCell ref="AC153:AE153"/>
    <mergeCell ref="Z151:AB151"/>
    <mergeCell ref="AC151:AE151"/>
    <mergeCell ref="C152:E152"/>
    <mergeCell ref="F152:H152"/>
    <mergeCell ref="I152:K152"/>
    <mergeCell ref="M152:O152"/>
    <mergeCell ref="P152:R152"/>
    <mergeCell ref="S152:U152"/>
    <mergeCell ref="W152:Y152"/>
    <mergeCell ref="Z152:AB152"/>
    <mergeCell ref="W150:Y150"/>
    <mergeCell ref="Z150:AB150"/>
    <mergeCell ref="AC150:AE150"/>
    <mergeCell ref="C151:E151"/>
    <mergeCell ref="F151:H151"/>
    <mergeCell ref="I151:K151"/>
    <mergeCell ref="M151:O151"/>
    <mergeCell ref="P151:R151"/>
    <mergeCell ref="S151:U151"/>
    <mergeCell ref="W151:Y151"/>
    <mergeCell ref="C150:E150"/>
    <mergeCell ref="F150:H150"/>
    <mergeCell ref="I150:K150"/>
    <mergeCell ref="M150:O150"/>
    <mergeCell ref="P150:R150"/>
    <mergeCell ref="S150:U150"/>
    <mergeCell ref="AC148:AE148"/>
    <mergeCell ref="C149:E149"/>
    <mergeCell ref="F149:H149"/>
    <mergeCell ref="I149:K149"/>
    <mergeCell ref="M149:O149"/>
    <mergeCell ref="P149:R149"/>
    <mergeCell ref="S149:U149"/>
    <mergeCell ref="W149:Y149"/>
    <mergeCell ref="Z149:AB149"/>
    <mergeCell ref="AC149:AE149"/>
    <mergeCell ref="Z147:AB147"/>
    <mergeCell ref="AC147:AE147"/>
    <mergeCell ref="C148:E148"/>
    <mergeCell ref="F148:H148"/>
    <mergeCell ref="I148:K148"/>
    <mergeCell ref="M148:O148"/>
    <mergeCell ref="P148:R148"/>
    <mergeCell ref="S148:U148"/>
    <mergeCell ref="W148:Y148"/>
    <mergeCell ref="Z148:AB148"/>
    <mergeCell ref="F142:H142"/>
    <mergeCell ref="I142:K142"/>
    <mergeCell ref="M142:O142"/>
    <mergeCell ref="P142:R142"/>
    <mergeCell ref="S142:U142"/>
    <mergeCell ref="W146:Y146"/>
    <mergeCell ref="Z146:AB146"/>
    <mergeCell ref="AC146:AE146"/>
    <mergeCell ref="C147:E147"/>
    <mergeCell ref="F147:H147"/>
    <mergeCell ref="I147:K147"/>
    <mergeCell ref="M147:O147"/>
    <mergeCell ref="P147:R147"/>
    <mergeCell ref="S147:U147"/>
    <mergeCell ref="W147:Y147"/>
    <mergeCell ref="C146:E146"/>
    <mergeCell ref="F146:H146"/>
    <mergeCell ref="I146:K146"/>
    <mergeCell ref="M146:O146"/>
    <mergeCell ref="P146:R146"/>
    <mergeCell ref="S146:U146"/>
    <mergeCell ref="AC144:AE144"/>
    <mergeCell ref="C145:E145"/>
    <mergeCell ref="F145:H145"/>
    <mergeCell ref="I145:K145"/>
    <mergeCell ref="M145:O145"/>
    <mergeCell ref="P145:R145"/>
    <mergeCell ref="S145:U145"/>
    <mergeCell ref="W145:Y145"/>
    <mergeCell ref="Z145:AB145"/>
    <mergeCell ref="AC145:AE145"/>
    <mergeCell ref="M140:O140"/>
    <mergeCell ref="P140:R140"/>
    <mergeCell ref="S140:U140"/>
    <mergeCell ref="W140:Y140"/>
    <mergeCell ref="Z140:AB140"/>
    <mergeCell ref="C139:E139"/>
    <mergeCell ref="F139:H139"/>
    <mergeCell ref="I139:K139"/>
    <mergeCell ref="M139:O139"/>
    <mergeCell ref="P139:R139"/>
    <mergeCell ref="S139:U139"/>
    <mergeCell ref="Z143:AB143"/>
    <mergeCell ref="AC143:AE143"/>
    <mergeCell ref="C144:E144"/>
    <mergeCell ref="F144:H144"/>
    <mergeCell ref="I144:K144"/>
    <mergeCell ref="M144:O144"/>
    <mergeCell ref="P144:R144"/>
    <mergeCell ref="S144:U144"/>
    <mergeCell ref="W144:Y144"/>
    <mergeCell ref="Z144:AB144"/>
    <mergeCell ref="W142:Y142"/>
    <mergeCell ref="Z142:AB142"/>
    <mergeCell ref="AC142:AE142"/>
    <mergeCell ref="C143:E143"/>
    <mergeCell ref="F143:H143"/>
    <mergeCell ref="I143:K143"/>
    <mergeCell ref="M143:O143"/>
    <mergeCell ref="P143:R143"/>
    <mergeCell ref="S143:U143"/>
    <mergeCell ref="W143:Y143"/>
    <mergeCell ref="C142:E142"/>
    <mergeCell ref="S137:U137"/>
    <mergeCell ref="AC135:AE135"/>
    <mergeCell ref="C136:E136"/>
    <mergeCell ref="F136:H136"/>
    <mergeCell ref="I136:K136"/>
    <mergeCell ref="M136:O136"/>
    <mergeCell ref="P136:R136"/>
    <mergeCell ref="S136:U136"/>
    <mergeCell ref="W136:Y136"/>
    <mergeCell ref="Z136:AB136"/>
    <mergeCell ref="AC136:AE136"/>
    <mergeCell ref="W135:Y135"/>
    <mergeCell ref="Z135:AB135"/>
    <mergeCell ref="V132:V152"/>
    <mergeCell ref="W132:Y132"/>
    <mergeCell ref="Z132:AB132"/>
    <mergeCell ref="W134:Y134"/>
    <mergeCell ref="AC140:AE140"/>
    <mergeCell ref="C141:E141"/>
    <mergeCell ref="F141:H141"/>
    <mergeCell ref="I141:K141"/>
    <mergeCell ref="M141:O141"/>
    <mergeCell ref="P141:R141"/>
    <mergeCell ref="S141:U141"/>
    <mergeCell ref="W141:Y141"/>
    <mergeCell ref="Z141:AB141"/>
    <mergeCell ref="AC141:AE141"/>
    <mergeCell ref="Z139:AB139"/>
    <mergeCell ref="AC139:AE139"/>
    <mergeCell ref="C140:E140"/>
    <mergeCell ref="F140:H140"/>
    <mergeCell ref="I140:K140"/>
    <mergeCell ref="M134:O134"/>
    <mergeCell ref="P134:R134"/>
    <mergeCell ref="AC132:AE132"/>
    <mergeCell ref="W133:Y133"/>
    <mergeCell ref="Z133:AB133"/>
    <mergeCell ref="AC133:AE133"/>
    <mergeCell ref="S134:U134"/>
    <mergeCell ref="I133:K133"/>
    <mergeCell ref="C134:E134"/>
    <mergeCell ref="F134:H134"/>
    <mergeCell ref="I134:K134"/>
    <mergeCell ref="AC134:AE134"/>
    <mergeCell ref="L132:L152"/>
    <mergeCell ref="M132:O132"/>
    <mergeCell ref="P132:R132"/>
    <mergeCell ref="S132:U132"/>
    <mergeCell ref="M133:O133"/>
    <mergeCell ref="AC137:AE137"/>
    <mergeCell ref="C138:E138"/>
    <mergeCell ref="F138:H138"/>
    <mergeCell ref="I138:K138"/>
    <mergeCell ref="M138:O138"/>
    <mergeCell ref="P138:R138"/>
    <mergeCell ref="S138:U138"/>
    <mergeCell ref="W138:Y138"/>
    <mergeCell ref="Z138:AB138"/>
    <mergeCell ref="AC138:AE138"/>
    <mergeCell ref="C137:E137"/>
    <mergeCell ref="F137:H137"/>
    <mergeCell ref="I137:K137"/>
    <mergeCell ref="M137:O137"/>
    <mergeCell ref="P137:R137"/>
    <mergeCell ref="AC131:AE131"/>
    <mergeCell ref="P130:R130"/>
    <mergeCell ref="S130:U130"/>
    <mergeCell ref="V130:Y131"/>
    <mergeCell ref="B132:B152"/>
    <mergeCell ref="C132:E132"/>
    <mergeCell ref="F132:H132"/>
    <mergeCell ref="I132:K132"/>
    <mergeCell ref="C133:E133"/>
    <mergeCell ref="F133:H133"/>
    <mergeCell ref="B130:E131"/>
    <mergeCell ref="F130:H130"/>
    <mergeCell ref="I130:K130"/>
    <mergeCell ref="L130:O131"/>
    <mergeCell ref="AC130:AE130"/>
    <mergeCell ref="F131:H131"/>
    <mergeCell ref="I131:K131"/>
    <mergeCell ref="P131:R131"/>
    <mergeCell ref="S131:U131"/>
    <mergeCell ref="Z131:AB131"/>
    <mergeCell ref="Z134:AB134"/>
    <mergeCell ref="W137:Y137"/>
    <mergeCell ref="Z137:AB137"/>
    <mergeCell ref="W139:Y139"/>
    <mergeCell ref="C135:E135"/>
    <mergeCell ref="F135:H135"/>
    <mergeCell ref="I135:K135"/>
    <mergeCell ref="M135:O135"/>
    <mergeCell ref="P135:R135"/>
    <mergeCell ref="S135:U135"/>
    <mergeCell ref="P133:R133"/>
    <mergeCell ref="S133:U133"/>
    <mergeCell ref="Q106:S106"/>
    <mergeCell ref="W106:Y106"/>
    <mergeCell ref="L127:N127"/>
    <mergeCell ref="L128:N128"/>
    <mergeCell ref="S128:U128"/>
    <mergeCell ref="Z130:AB130"/>
    <mergeCell ref="Z102:AB102"/>
    <mergeCell ref="AC102:AE102"/>
    <mergeCell ref="B103:H103"/>
    <mergeCell ref="I103:K103"/>
    <mergeCell ref="L103:R103"/>
    <mergeCell ref="S103:U103"/>
    <mergeCell ref="V103:AB103"/>
    <mergeCell ref="AC103:AE103"/>
    <mergeCell ref="W101:Y101"/>
    <mergeCell ref="Z101:AB101"/>
    <mergeCell ref="AC101:AE101"/>
    <mergeCell ref="C102:E102"/>
    <mergeCell ref="F102:H102"/>
    <mergeCell ref="I102:K102"/>
    <mergeCell ref="M102:O102"/>
    <mergeCell ref="P102:R102"/>
    <mergeCell ref="S102:U102"/>
    <mergeCell ref="W102:Y102"/>
    <mergeCell ref="C101:E101"/>
    <mergeCell ref="F101:H101"/>
    <mergeCell ref="I101:K101"/>
    <mergeCell ref="M101:O101"/>
    <mergeCell ref="P101:R101"/>
    <mergeCell ref="S101:U101"/>
    <mergeCell ref="L126:N126"/>
    <mergeCell ref="S127:U127"/>
    <mergeCell ref="AC99:AE99"/>
    <mergeCell ref="C100:E100"/>
    <mergeCell ref="F100:H100"/>
    <mergeCell ref="I100:K100"/>
    <mergeCell ref="M100:O100"/>
    <mergeCell ref="P100:R100"/>
    <mergeCell ref="S100:U100"/>
    <mergeCell ref="W100:Y100"/>
    <mergeCell ref="Z100:AB100"/>
    <mergeCell ref="AC100:AE100"/>
    <mergeCell ref="Z98:AB98"/>
    <mergeCell ref="AC98:AE98"/>
    <mergeCell ref="C99:E99"/>
    <mergeCell ref="F99:H99"/>
    <mergeCell ref="I99:K99"/>
    <mergeCell ref="M99:O99"/>
    <mergeCell ref="P99:R99"/>
    <mergeCell ref="S99:U99"/>
    <mergeCell ref="W99:Y99"/>
    <mergeCell ref="Z99:AB99"/>
    <mergeCell ref="W97:Y97"/>
    <mergeCell ref="Z97:AB97"/>
    <mergeCell ref="AC97:AE97"/>
    <mergeCell ref="C98:E98"/>
    <mergeCell ref="F98:H98"/>
    <mergeCell ref="I98:K98"/>
    <mergeCell ref="M98:O98"/>
    <mergeCell ref="P98:R98"/>
    <mergeCell ref="S98:U98"/>
    <mergeCell ref="W98:Y98"/>
    <mergeCell ref="C97:E97"/>
    <mergeCell ref="F97:H97"/>
    <mergeCell ref="I97:K97"/>
    <mergeCell ref="M97:O97"/>
    <mergeCell ref="P97:R97"/>
    <mergeCell ref="S97:U97"/>
    <mergeCell ref="AC95:AE95"/>
    <mergeCell ref="C96:E96"/>
    <mergeCell ref="F96:H96"/>
    <mergeCell ref="I96:K96"/>
    <mergeCell ref="M96:O96"/>
    <mergeCell ref="P96:R96"/>
    <mergeCell ref="S96:U96"/>
    <mergeCell ref="W96:Y96"/>
    <mergeCell ref="Z96:AB96"/>
    <mergeCell ref="AC96:AE96"/>
    <mergeCell ref="Z94:AB94"/>
    <mergeCell ref="AC94:AE94"/>
    <mergeCell ref="C95:E95"/>
    <mergeCell ref="F95:H95"/>
    <mergeCell ref="I95:K95"/>
    <mergeCell ref="M95:O95"/>
    <mergeCell ref="P95:R95"/>
    <mergeCell ref="S95:U95"/>
    <mergeCell ref="W95:Y95"/>
    <mergeCell ref="Z95:AB95"/>
    <mergeCell ref="W93:Y93"/>
    <mergeCell ref="Z93:AB93"/>
    <mergeCell ref="AC93:AE93"/>
    <mergeCell ref="C94:E94"/>
    <mergeCell ref="F94:H94"/>
    <mergeCell ref="I94:K94"/>
    <mergeCell ref="M94:O94"/>
    <mergeCell ref="P94:R94"/>
    <mergeCell ref="S94:U94"/>
    <mergeCell ref="W94:Y94"/>
    <mergeCell ref="C93:E93"/>
    <mergeCell ref="F93:H93"/>
    <mergeCell ref="I93:K93"/>
    <mergeCell ref="M93:O93"/>
    <mergeCell ref="P93:R93"/>
    <mergeCell ref="S93:U93"/>
    <mergeCell ref="AC91:AE91"/>
    <mergeCell ref="C92:E92"/>
    <mergeCell ref="F92:H92"/>
    <mergeCell ref="I92:K92"/>
    <mergeCell ref="M92:O92"/>
    <mergeCell ref="P92:R92"/>
    <mergeCell ref="S92:U92"/>
    <mergeCell ref="W92:Y92"/>
    <mergeCell ref="Z92:AB92"/>
    <mergeCell ref="AC92:AE92"/>
    <mergeCell ref="Z90:AB90"/>
    <mergeCell ref="AC90:AE90"/>
    <mergeCell ref="C91:E91"/>
    <mergeCell ref="F91:H91"/>
    <mergeCell ref="I91:K91"/>
    <mergeCell ref="M91:O91"/>
    <mergeCell ref="P91:R91"/>
    <mergeCell ref="S91:U91"/>
    <mergeCell ref="W91:Y91"/>
    <mergeCell ref="Z91:AB91"/>
    <mergeCell ref="C90:E90"/>
    <mergeCell ref="F90:H90"/>
    <mergeCell ref="I90:K90"/>
    <mergeCell ref="M90:O90"/>
    <mergeCell ref="P90:R90"/>
    <mergeCell ref="S90:U90"/>
    <mergeCell ref="W89:Y89"/>
    <mergeCell ref="Z89:AB89"/>
    <mergeCell ref="AC89:AE89"/>
    <mergeCell ref="C88:E88"/>
    <mergeCell ref="F88:H88"/>
    <mergeCell ref="I88:K88"/>
    <mergeCell ref="M88:O88"/>
    <mergeCell ref="P88:R88"/>
    <mergeCell ref="S88:U88"/>
    <mergeCell ref="AC86:AE86"/>
    <mergeCell ref="C87:E87"/>
    <mergeCell ref="F87:H87"/>
    <mergeCell ref="I87:K87"/>
    <mergeCell ref="M87:O87"/>
    <mergeCell ref="P87:R87"/>
    <mergeCell ref="S87:U87"/>
    <mergeCell ref="W87:Y87"/>
    <mergeCell ref="Z87:AB87"/>
    <mergeCell ref="AC87:AE87"/>
    <mergeCell ref="AC85:AE85"/>
    <mergeCell ref="C86:E86"/>
    <mergeCell ref="F86:H86"/>
    <mergeCell ref="I86:K86"/>
    <mergeCell ref="M86:O86"/>
    <mergeCell ref="P86:R86"/>
    <mergeCell ref="S86:U86"/>
    <mergeCell ref="W86:Y86"/>
    <mergeCell ref="Z86:AB86"/>
    <mergeCell ref="W85:Y85"/>
    <mergeCell ref="Z85:AB85"/>
    <mergeCell ref="V82:V102"/>
    <mergeCell ref="W82:Y82"/>
    <mergeCell ref="Z82:AB82"/>
    <mergeCell ref="W84:Y84"/>
    <mergeCell ref="Z84:AB84"/>
    <mergeCell ref="W88:Y88"/>
    <mergeCell ref="Z88:AB88"/>
    <mergeCell ref="W90:Y90"/>
    <mergeCell ref="AC82:AE82"/>
    <mergeCell ref="W83:Y83"/>
    <mergeCell ref="Z83:AB83"/>
    <mergeCell ref="AC83:AE83"/>
    <mergeCell ref="C85:E85"/>
    <mergeCell ref="F85:H85"/>
    <mergeCell ref="I85:K85"/>
    <mergeCell ref="M85:O85"/>
    <mergeCell ref="P85:R85"/>
    <mergeCell ref="S85:U85"/>
    <mergeCell ref="AC84:AE84"/>
    <mergeCell ref="L82:L102"/>
    <mergeCell ref="AC88:AE88"/>
    <mergeCell ref="M82:O82"/>
    <mergeCell ref="P82:R82"/>
    <mergeCell ref="S82:U82"/>
    <mergeCell ref="M83:O83"/>
    <mergeCell ref="P83:R83"/>
    <mergeCell ref="S83:U83"/>
    <mergeCell ref="M84:O84"/>
    <mergeCell ref="P84:R84"/>
    <mergeCell ref="B82:B102"/>
    <mergeCell ref="C82:E82"/>
    <mergeCell ref="F82:H82"/>
    <mergeCell ref="I82:K82"/>
    <mergeCell ref="C83:E83"/>
    <mergeCell ref="F83:H83"/>
    <mergeCell ref="I83:K83"/>
    <mergeCell ref="C84:E84"/>
    <mergeCell ref="F84:H84"/>
    <mergeCell ref="I84:K84"/>
    <mergeCell ref="S84:U84"/>
    <mergeCell ref="C89:E89"/>
    <mergeCell ref="F89:H89"/>
    <mergeCell ref="I89:K89"/>
    <mergeCell ref="M89:O89"/>
    <mergeCell ref="P89:R89"/>
    <mergeCell ref="S89:U89"/>
    <mergeCell ref="S80:U80"/>
    <mergeCell ref="V80:Y81"/>
    <mergeCell ref="Z80:AB80"/>
    <mergeCell ref="AC80:AE80"/>
    <mergeCell ref="F81:H81"/>
    <mergeCell ref="I81:K81"/>
    <mergeCell ref="P81:R81"/>
    <mergeCell ref="S81:U81"/>
    <mergeCell ref="Z81:AB81"/>
    <mergeCell ref="AC81:AE81"/>
    <mergeCell ref="L78:N78"/>
    <mergeCell ref="B80:E81"/>
    <mergeCell ref="F80:H80"/>
    <mergeCell ref="I80:K80"/>
    <mergeCell ref="L80:O81"/>
    <mergeCell ref="P80:R80"/>
    <mergeCell ref="L77:N77"/>
    <mergeCell ref="S78:U78"/>
    <mergeCell ref="S77:U77"/>
    <mergeCell ref="Q53:S53"/>
    <mergeCell ref="S27:U27"/>
    <mergeCell ref="P28:R28"/>
    <mergeCell ref="S28:U28"/>
    <mergeCell ref="P30:R30"/>
    <mergeCell ref="S30:U30"/>
    <mergeCell ref="W53:Y53"/>
    <mergeCell ref="A2:AF2"/>
    <mergeCell ref="L24:N24"/>
    <mergeCell ref="K14:L14"/>
    <mergeCell ref="K15:L15"/>
    <mergeCell ref="K16:L16"/>
    <mergeCell ref="P27:R27"/>
    <mergeCell ref="L25:N25"/>
    <mergeCell ref="F27:H27"/>
    <mergeCell ref="I27:K27"/>
    <mergeCell ref="F28:H28"/>
    <mergeCell ref="I28:K28"/>
    <mergeCell ref="Z27:AB27"/>
    <mergeCell ref="AC27:AE27"/>
    <mergeCell ref="Z28:AB28"/>
    <mergeCell ref="AC28:AE28"/>
    <mergeCell ref="W30:Y30"/>
    <mergeCell ref="F30:H30"/>
    <mergeCell ref="Z30:AB30"/>
    <mergeCell ref="AC30:AE30"/>
    <mergeCell ref="C30:E30"/>
    <mergeCell ref="F29:H29"/>
    <mergeCell ref="I30:K30"/>
    <mergeCell ref="M30:O30"/>
    <mergeCell ref="P31:R31"/>
    <mergeCell ref="S31:U31"/>
    <mergeCell ref="W31:Y31"/>
    <mergeCell ref="Z31:AB31"/>
    <mergeCell ref="C31:E31"/>
    <mergeCell ref="F31:H31"/>
    <mergeCell ref="I31:K31"/>
    <mergeCell ref="M31:O31"/>
    <mergeCell ref="AC31:AE31"/>
    <mergeCell ref="C32:E32"/>
    <mergeCell ref="F32:H32"/>
    <mergeCell ref="I32:K32"/>
    <mergeCell ref="M32:O32"/>
    <mergeCell ref="P32:R32"/>
    <mergeCell ref="S32:U32"/>
    <mergeCell ref="W32:Y32"/>
    <mergeCell ref="Z32:AB32"/>
    <mergeCell ref="AC32:AE32"/>
    <mergeCell ref="P33:R33"/>
    <mergeCell ref="S33:U33"/>
    <mergeCell ref="W33:Y33"/>
    <mergeCell ref="Z33:AB33"/>
    <mergeCell ref="C33:E33"/>
    <mergeCell ref="F33:H33"/>
    <mergeCell ref="I33:K33"/>
    <mergeCell ref="M33:O33"/>
    <mergeCell ref="AC33:AE33"/>
    <mergeCell ref="C34:E34"/>
    <mergeCell ref="F34:H34"/>
    <mergeCell ref="I34:K34"/>
    <mergeCell ref="M34:O34"/>
    <mergeCell ref="P34:R34"/>
    <mergeCell ref="S34:U34"/>
    <mergeCell ref="W34:Y34"/>
    <mergeCell ref="Z34:AB34"/>
    <mergeCell ref="AC34:AE34"/>
    <mergeCell ref="P35:R35"/>
    <mergeCell ref="S35:U35"/>
    <mergeCell ref="W35:Y35"/>
    <mergeCell ref="Z35:AB35"/>
    <mergeCell ref="C35:E35"/>
    <mergeCell ref="F35:H35"/>
    <mergeCell ref="I35:K35"/>
    <mergeCell ref="M35:O35"/>
    <mergeCell ref="AC35:AE35"/>
    <mergeCell ref="C36:E36"/>
    <mergeCell ref="F36:H36"/>
    <mergeCell ref="I36:K36"/>
    <mergeCell ref="M36:O36"/>
    <mergeCell ref="P36:R36"/>
    <mergeCell ref="S36:U36"/>
    <mergeCell ref="W36:Y36"/>
    <mergeCell ref="Z36:AB36"/>
    <mergeCell ref="AC36:AE36"/>
    <mergeCell ref="P37:R37"/>
    <mergeCell ref="S37:U37"/>
    <mergeCell ref="W37:Y37"/>
    <mergeCell ref="Z37:AB37"/>
    <mergeCell ref="C37:E37"/>
    <mergeCell ref="F37:H37"/>
    <mergeCell ref="I37:K37"/>
    <mergeCell ref="M37:O37"/>
    <mergeCell ref="AC37:AE37"/>
    <mergeCell ref="C38:E38"/>
    <mergeCell ref="F38:H38"/>
    <mergeCell ref="I38:K38"/>
    <mergeCell ref="M38:O38"/>
    <mergeCell ref="P38:R38"/>
    <mergeCell ref="S38:U38"/>
    <mergeCell ref="W38:Y38"/>
    <mergeCell ref="Z38:AB38"/>
    <mergeCell ref="AC38:AE38"/>
    <mergeCell ref="P39:R39"/>
    <mergeCell ref="S39:U39"/>
    <mergeCell ref="W39:Y39"/>
    <mergeCell ref="Z39:AB39"/>
    <mergeCell ref="C39:E39"/>
    <mergeCell ref="F39:H39"/>
    <mergeCell ref="I39:K39"/>
    <mergeCell ref="M39:O39"/>
    <mergeCell ref="AC39:AE39"/>
    <mergeCell ref="C40:E40"/>
    <mergeCell ref="F40:H40"/>
    <mergeCell ref="I40:K40"/>
    <mergeCell ref="M40:O40"/>
    <mergeCell ref="P40:R40"/>
    <mergeCell ref="S40:U40"/>
    <mergeCell ref="W40:Y40"/>
    <mergeCell ref="Z40:AB40"/>
    <mergeCell ref="AC40:AE40"/>
    <mergeCell ref="P41:R41"/>
    <mergeCell ref="S41:U41"/>
    <mergeCell ref="W41:Y41"/>
    <mergeCell ref="Z41:AB41"/>
    <mergeCell ref="C41:E41"/>
    <mergeCell ref="F41:H41"/>
    <mergeCell ref="I41:K41"/>
    <mergeCell ref="M41:O41"/>
    <mergeCell ref="AC41:AE41"/>
    <mergeCell ref="P44:R44"/>
    <mergeCell ref="S44:U44"/>
    <mergeCell ref="W44:Y44"/>
    <mergeCell ref="Z44:AB44"/>
    <mergeCell ref="AC44:AE44"/>
    <mergeCell ref="P45:R45"/>
    <mergeCell ref="S45:U45"/>
    <mergeCell ref="W45:Y45"/>
    <mergeCell ref="Z45:AB45"/>
    <mergeCell ref="C45:E45"/>
    <mergeCell ref="F45:H45"/>
    <mergeCell ref="I45:K45"/>
    <mergeCell ref="M45:O45"/>
    <mergeCell ref="AC45:AE45"/>
    <mergeCell ref="C42:E42"/>
    <mergeCell ref="F42:H42"/>
    <mergeCell ref="I42:K42"/>
    <mergeCell ref="M42:O42"/>
    <mergeCell ref="P42:R42"/>
    <mergeCell ref="S42:U42"/>
    <mergeCell ref="W42:Y42"/>
    <mergeCell ref="Z42:AB42"/>
    <mergeCell ref="AC42:AE42"/>
    <mergeCell ref="P43:R43"/>
    <mergeCell ref="S43:U43"/>
    <mergeCell ref="W43:Y43"/>
    <mergeCell ref="Z43:AB43"/>
    <mergeCell ref="C43:E43"/>
    <mergeCell ref="F43:H43"/>
    <mergeCell ref="I43:K43"/>
    <mergeCell ref="M43:O43"/>
    <mergeCell ref="AC43:AE43"/>
    <mergeCell ref="Z49:AB49"/>
    <mergeCell ref="C49:E49"/>
    <mergeCell ref="F49:H49"/>
    <mergeCell ref="I49:K49"/>
    <mergeCell ref="M49:O49"/>
    <mergeCell ref="AC47:AE47"/>
    <mergeCell ref="C48:E48"/>
    <mergeCell ref="F48:H48"/>
    <mergeCell ref="I48:K48"/>
    <mergeCell ref="M48:O48"/>
    <mergeCell ref="AC49:AE49"/>
    <mergeCell ref="L29:L49"/>
    <mergeCell ref="V29:V49"/>
    <mergeCell ref="M29:O29"/>
    <mergeCell ref="P29:R29"/>
    <mergeCell ref="S29:U29"/>
    <mergeCell ref="W29:Y29"/>
    <mergeCell ref="Z29:AB29"/>
    <mergeCell ref="AC29:AE29"/>
    <mergeCell ref="P49:R49"/>
    <mergeCell ref="C46:E46"/>
    <mergeCell ref="F46:H46"/>
    <mergeCell ref="I46:K46"/>
    <mergeCell ref="M46:O46"/>
    <mergeCell ref="P46:R46"/>
    <mergeCell ref="S46:U46"/>
    <mergeCell ref="W46:Y46"/>
    <mergeCell ref="Z46:AB46"/>
    <mergeCell ref="AC46:AE46"/>
    <mergeCell ref="W48:Y48"/>
    <mergeCell ref="Z48:AB48"/>
    <mergeCell ref="M44:O44"/>
    <mergeCell ref="L23:N23"/>
    <mergeCell ref="S24:U24"/>
    <mergeCell ref="S25:U25"/>
    <mergeCell ref="L76:N76"/>
    <mergeCell ref="L27:O28"/>
    <mergeCell ref="S48:U48"/>
    <mergeCell ref="B50:H50"/>
    <mergeCell ref="L50:R50"/>
    <mergeCell ref="V50:AB50"/>
    <mergeCell ref="AC50:AE50"/>
    <mergeCell ref="S50:U50"/>
    <mergeCell ref="I50:K50"/>
    <mergeCell ref="B27:E28"/>
    <mergeCell ref="V27:Y28"/>
    <mergeCell ref="C29:E29"/>
    <mergeCell ref="I29:K29"/>
    <mergeCell ref="B29:B49"/>
    <mergeCell ref="S49:U49"/>
    <mergeCell ref="W49:Y49"/>
    <mergeCell ref="P47:R47"/>
    <mergeCell ref="S47:U47"/>
    <mergeCell ref="P48:R48"/>
    <mergeCell ref="AC48:AE48"/>
    <mergeCell ref="W47:Y47"/>
    <mergeCell ref="Z47:AB47"/>
    <mergeCell ref="C47:E47"/>
    <mergeCell ref="F47:H47"/>
    <mergeCell ref="I47:K47"/>
    <mergeCell ref="M47:O47"/>
    <mergeCell ref="C44:E44"/>
    <mergeCell ref="F44:H44"/>
    <mergeCell ref="I44:K44"/>
    <mergeCell ref="F291:H291"/>
    <mergeCell ref="I291:K291"/>
    <mergeCell ref="M291:O291"/>
    <mergeCell ref="P291:R291"/>
    <mergeCell ref="S291:U291"/>
    <mergeCell ref="W291:Y291"/>
    <mergeCell ref="Z291:AB291"/>
    <mergeCell ref="AC291:AE291"/>
    <mergeCell ref="C292:E292"/>
    <mergeCell ref="F292:H292"/>
    <mergeCell ref="L283:N283"/>
    <mergeCell ref="L284:N284"/>
    <mergeCell ref="S284:U284"/>
    <mergeCell ref="L285:N285"/>
    <mergeCell ref="S285:U285"/>
    <mergeCell ref="B287:E288"/>
    <mergeCell ref="F287:H287"/>
    <mergeCell ref="I287:K287"/>
    <mergeCell ref="L287:O288"/>
    <mergeCell ref="P287:R287"/>
    <mergeCell ref="S287:U287"/>
    <mergeCell ref="V287:Y288"/>
    <mergeCell ref="Z287:AB287"/>
    <mergeCell ref="AC287:AE287"/>
    <mergeCell ref="F288:H288"/>
    <mergeCell ref="I288:K288"/>
    <mergeCell ref="P288:R288"/>
    <mergeCell ref="S288:U288"/>
    <mergeCell ref="Z288:AB288"/>
    <mergeCell ref="AC288:AE288"/>
    <mergeCell ref="I292:K292"/>
    <mergeCell ref="M292:O292"/>
    <mergeCell ref="P292:R292"/>
    <mergeCell ref="S292:U292"/>
    <mergeCell ref="W292:Y292"/>
    <mergeCell ref="Z292:AB292"/>
    <mergeCell ref="AC292:AE292"/>
    <mergeCell ref="C293:E293"/>
    <mergeCell ref="F293:H293"/>
    <mergeCell ref="I293:K293"/>
    <mergeCell ref="M293:O293"/>
    <mergeCell ref="P293:R293"/>
    <mergeCell ref="S293:U293"/>
    <mergeCell ref="W293:Y293"/>
    <mergeCell ref="Z293:AB293"/>
    <mergeCell ref="AC293:AE293"/>
    <mergeCell ref="C294:E294"/>
    <mergeCell ref="F294:H294"/>
    <mergeCell ref="I294:K294"/>
    <mergeCell ref="M294:O294"/>
    <mergeCell ref="P294:R294"/>
    <mergeCell ref="S294:U294"/>
    <mergeCell ref="W294:Y294"/>
    <mergeCell ref="Z294:AB294"/>
    <mergeCell ref="AC294:AE294"/>
    <mergeCell ref="L289:L309"/>
    <mergeCell ref="M289:O289"/>
    <mergeCell ref="P289:R289"/>
    <mergeCell ref="S289:U289"/>
    <mergeCell ref="V289:V309"/>
    <mergeCell ref="W289:Y289"/>
    <mergeCell ref="Z289:AB289"/>
    <mergeCell ref="C295:E295"/>
    <mergeCell ref="F295:H295"/>
    <mergeCell ref="I295:K295"/>
    <mergeCell ref="M295:O295"/>
    <mergeCell ref="P295:R295"/>
    <mergeCell ref="S295:U295"/>
    <mergeCell ref="W295:Y295"/>
    <mergeCell ref="Z295:AB295"/>
    <mergeCell ref="AC295:AE295"/>
    <mergeCell ref="C296:E296"/>
    <mergeCell ref="F296:H296"/>
    <mergeCell ref="I296:K296"/>
    <mergeCell ref="M296:O296"/>
    <mergeCell ref="P296:R296"/>
    <mergeCell ref="S296:U296"/>
    <mergeCell ref="W296:Y296"/>
    <mergeCell ref="Z296:AB296"/>
    <mergeCell ref="AC296:AE296"/>
    <mergeCell ref="C297:E297"/>
    <mergeCell ref="F297:H297"/>
    <mergeCell ref="I297:K297"/>
    <mergeCell ref="M297:O297"/>
    <mergeCell ref="P297:R297"/>
    <mergeCell ref="S297:U297"/>
    <mergeCell ref="W297:Y297"/>
    <mergeCell ref="Z297:AB297"/>
    <mergeCell ref="AC297:AE297"/>
    <mergeCell ref="C298:E298"/>
    <mergeCell ref="F298:H298"/>
    <mergeCell ref="I298:K298"/>
    <mergeCell ref="M298:O298"/>
    <mergeCell ref="P298:R298"/>
    <mergeCell ref="S298:U298"/>
    <mergeCell ref="W298:Y298"/>
    <mergeCell ref="Z298:AB298"/>
    <mergeCell ref="AC298:AE298"/>
    <mergeCell ref="C299:E299"/>
    <mergeCell ref="F299:H299"/>
    <mergeCell ref="I299:K299"/>
    <mergeCell ref="M299:O299"/>
    <mergeCell ref="P299:R299"/>
    <mergeCell ref="S299:U299"/>
    <mergeCell ref="W299:Y299"/>
    <mergeCell ref="Z299:AB299"/>
    <mergeCell ref="AC299:AE299"/>
    <mergeCell ref="C300:E300"/>
    <mergeCell ref="F300:H300"/>
    <mergeCell ref="I300:K300"/>
    <mergeCell ref="M300:O300"/>
    <mergeCell ref="P300:R300"/>
    <mergeCell ref="S300:U300"/>
    <mergeCell ref="W300:Y300"/>
    <mergeCell ref="Z300:AB300"/>
    <mergeCell ref="AC300:AE300"/>
    <mergeCell ref="C301:E301"/>
    <mergeCell ref="F301:H301"/>
    <mergeCell ref="I301:K301"/>
    <mergeCell ref="M301:O301"/>
    <mergeCell ref="P301:R301"/>
    <mergeCell ref="S301:U301"/>
    <mergeCell ref="W301:Y301"/>
    <mergeCell ref="Z301:AB301"/>
    <mergeCell ref="AC301:AE301"/>
    <mergeCell ref="C302:E302"/>
    <mergeCell ref="F302:H302"/>
    <mergeCell ref="I302:K302"/>
    <mergeCell ref="M302:O302"/>
    <mergeCell ref="P302:R302"/>
    <mergeCell ref="S302:U302"/>
    <mergeCell ref="W302:Y302"/>
    <mergeCell ref="Z302:AB302"/>
    <mergeCell ref="AC302:AE302"/>
    <mergeCell ref="C303:E303"/>
    <mergeCell ref="F303:H303"/>
    <mergeCell ref="I303:K303"/>
    <mergeCell ref="M303:O303"/>
    <mergeCell ref="P303:R303"/>
    <mergeCell ref="S303:U303"/>
    <mergeCell ref="W303:Y303"/>
    <mergeCell ref="Z303:AB303"/>
    <mergeCell ref="AC303:AE303"/>
    <mergeCell ref="C304:E304"/>
    <mergeCell ref="F304:H304"/>
    <mergeCell ref="I304:K304"/>
    <mergeCell ref="M304:O304"/>
    <mergeCell ref="P304:R304"/>
    <mergeCell ref="S304:U304"/>
    <mergeCell ref="W304:Y304"/>
    <mergeCell ref="Z304:AB304"/>
    <mergeCell ref="AC304:AE304"/>
    <mergeCell ref="C305:E305"/>
    <mergeCell ref="F305:H305"/>
    <mergeCell ref="I305:K305"/>
    <mergeCell ref="M305:O305"/>
    <mergeCell ref="P305:R305"/>
    <mergeCell ref="S305:U305"/>
    <mergeCell ref="W305:Y305"/>
    <mergeCell ref="Z305:AB305"/>
    <mergeCell ref="AC305:AE305"/>
    <mergeCell ref="C309:E309"/>
    <mergeCell ref="F309:H309"/>
    <mergeCell ref="I309:K309"/>
    <mergeCell ref="M309:O309"/>
    <mergeCell ref="P309:R309"/>
    <mergeCell ref="S309:U309"/>
    <mergeCell ref="W309:Y309"/>
    <mergeCell ref="Z309:AB309"/>
    <mergeCell ref="AC309:AE309"/>
    <mergeCell ref="C306:E306"/>
    <mergeCell ref="F306:H306"/>
    <mergeCell ref="I306:K306"/>
    <mergeCell ref="M306:O306"/>
    <mergeCell ref="P306:R306"/>
    <mergeCell ref="S306:U306"/>
    <mergeCell ref="W306:Y306"/>
    <mergeCell ref="Z306:AB306"/>
    <mergeCell ref="AC306:AE306"/>
    <mergeCell ref="C307:E307"/>
    <mergeCell ref="F307:H307"/>
    <mergeCell ref="I307:K307"/>
    <mergeCell ref="M307:O307"/>
    <mergeCell ref="P307:R307"/>
    <mergeCell ref="S307:U307"/>
    <mergeCell ref="W307:Y307"/>
    <mergeCell ref="Z307:AB307"/>
    <mergeCell ref="AC307:AE307"/>
    <mergeCell ref="B310:H310"/>
    <mergeCell ref="I310:K310"/>
    <mergeCell ref="L310:R310"/>
    <mergeCell ref="S310:U310"/>
    <mergeCell ref="V310:AB310"/>
    <mergeCell ref="AC310:AE310"/>
    <mergeCell ref="Q313:S313"/>
    <mergeCell ref="W313:Y313"/>
    <mergeCell ref="B289:B309"/>
    <mergeCell ref="C289:E289"/>
    <mergeCell ref="F289:H289"/>
    <mergeCell ref="I289:K289"/>
    <mergeCell ref="AC289:AE289"/>
    <mergeCell ref="C290:E290"/>
    <mergeCell ref="F290:H290"/>
    <mergeCell ref="I290:K290"/>
    <mergeCell ref="M290:O290"/>
    <mergeCell ref="P290:R290"/>
    <mergeCell ref="S290:U290"/>
    <mergeCell ref="W290:Y290"/>
    <mergeCell ref="Z290:AB290"/>
    <mergeCell ref="AC290:AE290"/>
    <mergeCell ref="C291:E291"/>
    <mergeCell ref="C308:E308"/>
    <mergeCell ref="F308:H308"/>
    <mergeCell ref="I308:K308"/>
    <mergeCell ref="M308:O308"/>
    <mergeCell ref="P308:R308"/>
    <mergeCell ref="S308:U308"/>
    <mergeCell ref="W308:Y308"/>
    <mergeCell ref="Z308:AB308"/>
    <mergeCell ref="AC308:AE308"/>
    <mergeCell ref="F342:H342"/>
    <mergeCell ref="I342:K342"/>
    <mergeCell ref="M342:O342"/>
    <mergeCell ref="P342:R342"/>
    <mergeCell ref="S342:U342"/>
    <mergeCell ref="W342:Y342"/>
    <mergeCell ref="Z342:AB342"/>
    <mergeCell ref="AC342:AE342"/>
    <mergeCell ref="C343:E343"/>
    <mergeCell ref="F343:H343"/>
    <mergeCell ref="L334:N334"/>
    <mergeCell ref="L335:N335"/>
    <mergeCell ref="S335:U335"/>
    <mergeCell ref="L336:N336"/>
    <mergeCell ref="S336:U336"/>
    <mergeCell ref="B338:E339"/>
    <mergeCell ref="F338:H338"/>
    <mergeCell ref="I338:K338"/>
    <mergeCell ref="L338:O339"/>
    <mergeCell ref="P338:R338"/>
    <mergeCell ref="S338:U338"/>
    <mergeCell ref="V338:Y339"/>
    <mergeCell ref="Z338:AB338"/>
    <mergeCell ref="AC338:AE338"/>
    <mergeCell ref="F339:H339"/>
    <mergeCell ref="I339:K339"/>
    <mergeCell ref="P339:R339"/>
    <mergeCell ref="S339:U339"/>
    <mergeCell ref="Z339:AB339"/>
    <mergeCell ref="AC339:AE339"/>
    <mergeCell ref="I343:K343"/>
    <mergeCell ref="M343:O343"/>
    <mergeCell ref="P343:R343"/>
    <mergeCell ref="S343:U343"/>
    <mergeCell ref="W343:Y343"/>
    <mergeCell ref="Z343:AB343"/>
    <mergeCell ref="AC343:AE343"/>
    <mergeCell ref="C344:E344"/>
    <mergeCell ref="F344:H344"/>
    <mergeCell ref="I344:K344"/>
    <mergeCell ref="M344:O344"/>
    <mergeCell ref="P344:R344"/>
    <mergeCell ref="S344:U344"/>
    <mergeCell ref="W344:Y344"/>
    <mergeCell ref="Z344:AB344"/>
    <mergeCell ref="AC344:AE344"/>
    <mergeCell ref="C345:E345"/>
    <mergeCell ref="F345:H345"/>
    <mergeCell ref="I345:K345"/>
    <mergeCell ref="M345:O345"/>
    <mergeCell ref="P345:R345"/>
    <mergeCell ref="S345:U345"/>
    <mergeCell ref="W345:Y345"/>
    <mergeCell ref="Z345:AB345"/>
    <mergeCell ref="AC345:AE345"/>
    <mergeCell ref="L340:L360"/>
    <mergeCell ref="M340:O340"/>
    <mergeCell ref="P340:R340"/>
    <mergeCell ref="S340:U340"/>
    <mergeCell ref="V340:V360"/>
    <mergeCell ref="W340:Y340"/>
    <mergeCell ref="Z340:AB340"/>
    <mergeCell ref="C346:E346"/>
    <mergeCell ref="F346:H346"/>
    <mergeCell ref="I346:K346"/>
    <mergeCell ref="M346:O346"/>
    <mergeCell ref="P346:R346"/>
    <mergeCell ref="S346:U346"/>
    <mergeCell ref="W346:Y346"/>
    <mergeCell ref="Z346:AB346"/>
    <mergeCell ref="AC346:AE346"/>
    <mergeCell ref="C347:E347"/>
    <mergeCell ref="F347:H347"/>
    <mergeCell ref="I347:K347"/>
    <mergeCell ref="M347:O347"/>
    <mergeCell ref="P347:R347"/>
    <mergeCell ref="S347:U347"/>
    <mergeCell ref="W347:Y347"/>
    <mergeCell ref="Z347:AB347"/>
    <mergeCell ref="AC347:AE347"/>
    <mergeCell ref="C348:E348"/>
    <mergeCell ref="F348:H348"/>
    <mergeCell ref="I348:K348"/>
    <mergeCell ref="M348:O348"/>
    <mergeCell ref="P348:R348"/>
    <mergeCell ref="S348:U348"/>
    <mergeCell ref="W348:Y348"/>
    <mergeCell ref="Z348:AB348"/>
    <mergeCell ref="AC348:AE348"/>
    <mergeCell ref="C349:E349"/>
    <mergeCell ref="F349:H349"/>
    <mergeCell ref="I349:K349"/>
    <mergeCell ref="M349:O349"/>
    <mergeCell ref="P349:R349"/>
    <mergeCell ref="S349:U349"/>
    <mergeCell ref="W349:Y349"/>
    <mergeCell ref="Z349:AB349"/>
    <mergeCell ref="AC349:AE349"/>
    <mergeCell ref="C350:E350"/>
    <mergeCell ref="F350:H350"/>
    <mergeCell ref="I350:K350"/>
    <mergeCell ref="M350:O350"/>
    <mergeCell ref="P350:R350"/>
    <mergeCell ref="S350:U350"/>
    <mergeCell ref="W350:Y350"/>
    <mergeCell ref="Z350:AB350"/>
    <mergeCell ref="AC350:AE350"/>
    <mergeCell ref="C351:E351"/>
    <mergeCell ref="F351:H351"/>
    <mergeCell ref="I351:K351"/>
    <mergeCell ref="M351:O351"/>
    <mergeCell ref="P351:R351"/>
    <mergeCell ref="S351:U351"/>
    <mergeCell ref="W351:Y351"/>
    <mergeCell ref="Z351:AB351"/>
    <mergeCell ref="AC351:AE351"/>
    <mergeCell ref="C352:E352"/>
    <mergeCell ref="F352:H352"/>
    <mergeCell ref="I352:K352"/>
    <mergeCell ref="M352:O352"/>
    <mergeCell ref="P352:R352"/>
    <mergeCell ref="S352:U352"/>
    <mergeCell ref="W352:Y352"/>
    <mergeCell ref="Z352:AB352"/>
    <mergeCell ref="AC352:AE352"/>
    <mergeCell ref="C353:E353"/>
    <mergeCell ref="F353:H353"/>
    <mergeCell ref="I353:K353"/>
    <mergeCell ref="M353:O353"/>
    <mergeCell ref="P353:R353"/>
    <mergeCell ref="S353:U353"/>
    <mergeCell ref="W353:Y353"/>
    <mergeCell ref="Z353:AB353"/>
    <mergeCell ref="AC353:AE353"/>
    <mergeCell ref="C354:E354"/>
    <mergeCell ref="F354:H354"/>
    <mergeCell ref="I354:K354"/>
    <mergeCell ref="M354:O354"/>
    <mergeCell ref="P354:R354"/>
    <mergeCell ref="S354:U354"/>
    <mergeCell ref="W354:Y354"/>
    <mergeCell ref="Z354:AB354"/>
    <mergeCell ref="AC354:AE354"/>
    <mergeCell ref="C355:E355"/>
    <mergeCell ref="F355:H355"/>
    <mergeCell ref="I355:K355"/>
    <mergeCell ref="M355:O355"/>
    <mergeCell ref="P355:R355"/>
    <mergeCell ref="S355:U355"/>
    <mergeCell ref="W355:Y355"/>
    <mergeCell ref="Z355:AB355"/>
    <mergeCell ref="AC355:AE355"/>
    <mergeCell ref="C356:E356"/>
    <mergeCell ref="F356:H356"/>
    <mergeCell ref="I356:K356"/>
    <mergeCell ref="M356:O356"/>
    <mergeCell ref="P356:R356"/>
    <mergeCell ref="S356:U356"/>
    <mergeCell ref="W356:Y356"/>
    <mergeCell ref="Z356:AB356"/>
    <mergeCell ref="AC356:AE356"/>
    <mergeCell ref="C360:E360"/>
    <mergeCell ref="F360:H360"/>
    <mergeCell ref="I360:K360"/>
    <mergeCell ref="M360:O360"/>
    <mergeCell ref="P360:R360"/>
    <mergeCell ref="S360:U360"/>
    <mergeCell ref="W360:Y360"/>
    <mergeCell ref="Z360:AB360"/>
    <mergeCell ref="AC360:AE360"/>
    <mergeCell ref="C357:E357"/>
    <mergeCell ref="F357:H357"/>
    <mergeCell ref="I357:K357"/>
    <mergeCell ref="M357:O357"/>
    <mergeCell ref="P357:R357"/>
    <mergeCell ref="S357:U357"/>
    <mergeCell ref="W357:Y357"/>
    <mergeCell ref="Z357:AB357"/>
    <mergeCell ref="AC357:AE357"/>
    <mergeCell ref="C358:E358"/>
    <mergeCell ref="F358:H358"/>
    <mergeCell ref="I358:K358"/>
    <mergeCell ref="M358:O358"/>
    <mergeCell ref="P358:R358"/>
    <mergeCell ref="S358:U358"/>
    <mergeCell ref="W358:Y358"/>
    <mergeCell ref="Z358:AB358"/>
    <mergeCell ref="AC358:AE358"/>
    <mergeCell ref="B361:H361"/>
    <mergeCell ref="I361:K361"/>
    <mergeCell ref="L361:R361"/>
    <mergeCell ref="S361:U361"/>
    <mergeCell ref="V361:AB361"/>
    <mergeCell ref="AC361:AE361"/>
    <mergeCell ref="Q364:S364"/>
    <mergeCell ref="W364:Y364"/>
    <mergeCell ref="B340:B360"/>
    <mergeCell ref="C340:E340"/>
    <mergeCell ref="F340:H340"/>
    <mergeCell ref="I340:K340"/>
    <mergeCell ref="AC340:AE340"/>
    <mergeCell ref="C341:E341"/>
    <mergeCell ref="F341:H341"/>
    <mergeCell ref="I341:K341"/>
    <mergeCell ref="M341:O341"/>
    <mergeCell ref="P341:R341"/>
    <mergeCell ref="S341:U341"/>
    <mergeCell ref="W341:Y341"/>
    <mergeCell ref="Z341:AB341"/>
    <mergeCell ref="AC341:AE341"/>
    <mergeCell ref="C342:E342"/>
    <mergeCell ref="C359:E359"/>
    <mergeCell ref="F359:H359"/>
    <mergeCell ref="I359:K359"/>
    <mergeCell ref="M359:O359"/>
    <mergeCell ref="P359:R359"/>
    <mergeCell ref="S359:U359"/>
    <mergeCell ref="W359:Y359"/>
    <mergeCell ref="Z359:AB359"/>
    <mergeCell ref="AC359:AE359"/>
  </mergeCells>
  <phoneticPr fontId="2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C76"/>
  <sheetViews>
    <sheetView topLeftCell="W30" zoomScale="78" zoomScaleNormal="85" workbookViewId="0">
      <selection activeCell="AQ54" sqref="AQ54:AQ55"/>
    </sheetView>
  </sheetViews>
  <sheetFormatPr defaultRowHeight="13.2" x14ac:dyDescent="0.25"/>
  <cols>
    <col min="13" max="13" width="9.109375" style="2" customWidth="1"/>
    <col min="38" max="38" width="8.88671875" style="40"/>
    <col min="39" max="41" width="8.88671875" style="38"/>
    <col min="51" max="51" width="12.109375" customWidth="1"/>
  </cols>
  <sheetData>
    <row r="2" spans="1:55" x14ac:dyDescent="0.25">
      <c r="B2" s="24"/>
      <c r="C2" s="24"/>
      <c r="D2" s="24"/>
      <c r="E2" s="25"/>
      <c r="F2" s="26" t="s">
        <v>31</v>
      </c>
      <c r="G2" s="26" t="s">
        <v>40</v>
      </c>
      <c r="H2" s="26" t="s">
        <v>53</v>
      </c>
      <c r="I2" s="2"/>
    </row>
    <row r="3" spans="1:55" x14ac:dyDescent="0.25">
      <c r="B3" s="27" t="s">
        <v>0</v>
      </c>
      <c r="C3" s="28">
        <f>Vystup!K14</f>
        <v>30</v>
      </c>
      <c r="D3" s="24" t="s">
        <v>3</v>
      </c>
      <c r="E3" s="29" t="s">
        <v>32</v>
      </c>
      <c r="F3" s="26">
        <f>(-3*P4/C3^2-3*P3/C3^2)</f>
        <v>-9.0909090909090905E-3</v>
      </c>
      <c r="G3" s="26">
        <f>-3*P4/2/C5^2</f>
        <v>3.6075036075036075E-3</v>
      </c>
      <c r="H3" s="25">
        <f>3/2/C3/C5/C5*(P3-Q3)</f>
        <v>6.6137566137566134E-4</v>
      </c>
      <c r="M3" s="13"/>
      <c r="N3" s="14"/>
      <c r="O3" s="15" t="s">
        <v>41</v>
      </c>
      <c r="P3" s="16">
        <f>-P4*(4*C4+3)/(2*C4)</f>
        <v>3.5064935064935066</v>
      </c>
      <c r="Q3" s="16">
        <f>P4</f>
        <v>-0.77922077922077915</v>
      </c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M3" s="42" t="s">
        <v>113</v>
      </c>
      <c r="AN3" s="43"/>
      <c r="AP3" s="13" t="s">
        <v>114</v>
      </c>
      <c r="AQ3" s="14"/>
      <c r="AR3" s="14"/>
      <c r="AS3" s="14"/>
      <c r="AT3" s="14"/>
      <c r="AU3" s="14"/>
      <c r="AV3" s="14"/>
      <c r="AW3" s="14"/>
      <c r="AX3" s="14"/>
      <c r="AY3" s="17"/>
      <c r="AZ3" s="14"/>
      <c r="BA3" s="14"/>
      <c r="BB3" s="14"/>
      <c r="BC3" s="14"/>
    </row>
    <row r="4" spans="1:55" x14ac:dyDescent="0.25">
      <c r="B4" s="27" t="s">
        <v>1</v>
      </c>
      <c r="C4" s="28">
        <f>Vystup!K15</f>
        <v>0.6</v>
      </c>
      <c r="D4" s="24" t="s">
        <v>3</v>
      </c>
      <c r="E4" s="29" t="s">
        <v>33</v>
      </c>
      <c r="F4" s="26">
        <f>(2*P4/C3+4/C3*P3)</f>
        <v>0.41558441558441556</v>
      </c>
      <c r="G4" s="26">
        <f>3*P4/C5</f>
        <v>-0.12987012987012986</v>
      </c>
      <c r="H4" s="25">
        <v>0</v>
      </c>
      <c r="M4" s="13"/>
      <c r="N4" s="14"/>
      <c r="O4" s="15" t="s">
        <v>42</v>
      </c>
      <c r="P4" s="16">
        <f>-(2*C4*C4*C3)/(9+24*C4+12*C4*C4)</f>
        <v>-0.77922077922077915</v>
      </c>
      <c r="Q4" s="16">
        <f>P3</f>
        <v>3.5064935064935066</v>
      </c>
      <c r="R4" s="14"/>
      <c r="S4" s="14"/>
      <c r="T4" s="14"/>
      <c r="U4" s="14"/>
      <c r="V4" s="14"/>
      <c r="W4" s="14"/>
      <c r="X4" s="14"/>
      <c r="Y4" s="14"/>
      <c r="Z4" s="18">
        <f>0.25*$C$3*(3*$C$4^3+6*$C$4^2-1)/$C$4/(3+2*$C$4)</f>
        <v>5.3809523809523823</v>
      </c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P4" s="14"/>
      <c r="AQ4" s="46" t="s">
        <v>117</v>
      </c>
      <c r="AR4" s="14"/>
      <c r="AS4" s="14"/>
      <c r="AT4" s="19" t="s">
        <v>70</v>
      </c>
      <c r="AU4" s="14"/>
      <c r="AV4" s="14"/>
      <c r="AW4" s="14"/>
      <c r="AX4" s="14"/>
      <c r="AY4" s="17"/>
      <c r="AZ4" s="14"/>
      <c r="BA4" s="14"/>
      <c r="BB4" s="14"/>
      <c r="BC4" s="14"/>
    </row>
    <row r="5" spans="1:55" ht="16.8" x14ac:dyDescent="0.35">
      <c r="B5" s="27" t="s">
        <v>2</v>
      </c>
      <c r="C5" s="30">
        <f>C3*C4</f>
        <v>18</v>
      </c>
      <c r="D5" s="24" t="s">
        <v>3</v>
      </c>
      <c r="E5" s="29" t="s">
        <v>34</v>
      </c>
      <c r="F5" s="31">
        <f>-P3</f>
        <v>-3.5064935064935066</v>
      </c>
      <c r="G5" s="31">
        <f>-P4</f>
        <v>0.77922077922077915</v>
      </c>
      <c r="H5" s="25">
        <f>-0.5*P3/C3+0.5*Q3/C3</f>
        <v>-7.1428571428571425E-2</v>
      </c>
      <c r="M5" s="13" t="s">
        <v>4</v>
      </c>
      <c r="N5" s="13" t="s">
        <v>87</v>
      </c>
      <c r="O5" s="13" t="s">
        <v>88</v>
      </c>
      <c r="P5" s="20" t="s">
        <v>89</v>
      </c>
      <c r="Q5" s="20" t="s">
        <v>90</v>
      </c>
      <c r="R5" s="20" t="s">
        <v>91</v>
      </c>
      <c r="S5" s="33" t="s">
        <v>92</v>
      </c>
      <c r="T5" s="20" t="s">
        <v>93</v>
      </c>
      <c r="U5" s="20" t="s">
        <v>94</v>
      </c>
      <c r="V5" s="21" t="s">
        <v>95</v>
      </c>
      <c r="W5" s="33" t="s">
        <v>96</v>
      </c>
      <c r="X5" s="21" t="s">
        <v>95</v>
      </c>
      <c r="Y5" s="33" t="s">
        <v>97</v>
      </c>
      <c r="Z5" s="21" t="s">
        <v>95</v>
      </c>
      <c r="AA5" s="20" t="s">
        <v>98</v>
      </c>
      <c r="AB5" s="13" t="s">
        <v>99</v>
      </c>
      <c r="AC5" s="20" t="s">
        <v>89</v>
      </c>
      <c r="AD5" s="21" t="s">
        <v>95</v>
      </c>
      <c r="AE5" s="20" t="s">
        <v>91</v>
      </c>
      <c r="AF5" s="33" t="s">
        <v>98</v>
      </c>
      <c r="AG5" s="13" t="s">
        <v>100</v>
      </c>
      <c r="AH5" s="33" t="s">
        <v>101</v>
      </c>
      <c r="AI5" s="13" t="s">
        <v>102</v>
      </c>
      <c r="AJ5" s="137" t="s">
        <v>103</v>
      </c>
      <c r="AK5" s="137"/>
      <c r="AL5" s="40" t="s">
        <v>109</v>
      </c>
      <c r="AM5" s="138" t="s">
        <v>110</v>
      </c>
      <c r="AN5" s="138"/>
      <c r="AO5" s="40" t="s">
        <v>108</v>
      </c>
      <c r="AP5" s="36" t="s">
        <v>107</v>
      </c>
      <c r="AQ5" s="36"/>
      <c r="AR5" s="34"/>
      <c r="AS5" s="34"/>
      <c r="AT5" s="136" t="s">
        <v>104</v>
      </c>
      <c r="AU5" s="136"/>
      <c r="AV5" s="136" t="s">
        <v>105</v>
      </c>
      <c r="AW5" s="136"/>
      <c r="AX5" s="13" t="s">
        <v>88</v>
      </c>
      <c r="AY5" s="20"/>
      <c r="AZ5" s="13" t="s">
        <v>88</v>
      </c>
      <c r="BA5" s="20" t="s">
        <v>106</v>
      </c>
      <c r="BB5" s="13" t="s">
        <v>88</v>
      </c>
      <c r="BC5" s="20" t="s">
        <v>106</v>
      </c>
    </row>
    <row r="6" spans="1:55" x14ac:dyDescent="0.25">
      <c r="B6" s="24"/>
      <c r="C6" s="24"/>
      <c r="D6" s="24"/>
      <c r="E6" s="29" t="s">
        <v>35</v>
      </c>
      <c r="F6" s="26">
        <f>((-F4+(F4^2-4*F3*F5)^0.5)/2/F3)</f>
        <v>11.163781754467932</v>
      </c>
      <c r="G6" s="26">
        <f>((-G4+(G4^2-4*G3*G5)^0.5)/2/G3)</f>
        <v>28.39230484541326</v>
      </c>
      <c r="H6" s="26">
        <f>((-H4+(H4^2-4*H3*H5)^0.5)/2/H3)</f>
        <v>10.392304845413264</v>
      </c>
      <c r="I6" s="4"/>
      <c r="M6" s="13">
        <v>0</v>
      </c>
      <c r="N6" s="16">
        <v>0</v>
      </c>
      <c r="O6" s="13">
        <v>0</v>
      </c>
      <c r="P6" s="18">
        <f>(O6/$C$5)*(1-O6/$C$5)*(1+O6/$C$5)*$C$5/2*$P$3</f>
        <v>0</v>
      </c>
      <c r="Q6" s="18">
        <f>(O6/$C$5)*(1-O6/$C$5)*(1+O6/$C$5)*$C$5/2*$Q$3</f>
        <v>0</v>
      </c>
      <c r="R6" s="18">
        <f>-(N6*($C$5-N6)*(N6+$C$5)/(2*$C$5*$C$5))</f>
        <v>0</v>
      </c>
      <c r="S6" s="18">
        <f>R6+(3/$C$5)*P6</f>
        <v>0</v>
      </c>
      <c r="T6" s="14"/>
      <c r="U6" s="14"/>
      <c r="V6" s="14"/>
      <c r="W6" s="16">
        <f>V6-0.5*(T6+4/$C$3*P6+2/$C$3*Q6)+0.5*(U6+4/$C$3*Q6+2/$C$3*P6)</f>
        <v>0</v>
      </c>
      <c r="X6" s="16">
        <v>0</v>
      </c>
      <c r="Y6" s="16">
        <f>X6+0.5*(R6+3/$C$5*P6)</f>
        <v>0</v>
      </c>
      <c r="Z6" s="16">
        <f>IF(O6&lt;=$Z$4,($C$5-$Z$4)/($C$5)*O6,($C$5-$Z$4)/($C$5)*O6-(O6-$Z$4))</f>
        <v>0</v>
      </c>
      <c r="AA6" s="18">
        <f>($Z$4/$C$5)*(3/$C$5)*P6+Z6+($Z$4/$C$5)*R6</f>
        <v>0</v>
      </c>
      <c r="AB6" s="18">
        <f t="shared" ref="AB6:AB13" si="0">IF(N6&lt;$Z$4,N6,IF(AND(N6&gt;$Z$4,N5&lt;$Z$4),$Z$4,N5))</f>
        <v>0</v>
      </c>
      <c r="AC6" s="18">
        <f>(AB6/$C$5)*(1-AB6/$C$5)*(1+AB6/$C$5)*$C$5/2*$P$3</f>
        <v>0</v>
      </c>
      <c r="AD6" s="16">
        <f>IF(AB6&lt;=$Z$4,($C$5-$Z$4)/($C$5)*AB6,($C$5-$Z$4)/($C$5)*AB6-(AB6-$Z$4))</f>
        <v>0</v>
      </c>
      <c r="AE6" s="16">
        <f>-(AB6*($C$5-AB6)*(AB6+$C$5)/(2*$C$5*$C$5))</f>
        <v>0</v>
      </c>
      <c r="AF6" s="18">
        <f>($Z$4/$C$5)*(3/$C$5)*AC6+AD6+($Z$4/$C$5)*AE6</f>
        <v>0</v>
      </c>
      <c r="AG6" s="16">
        <v>1</v>
      </c>
      <c r="AH6" s="18">
        <f>AG6</f>
        <v>1</v>
      </c>
      <c r="AI6" s="16">
        <v>0</v>
      </c>
      <c r="AJ6" s="18">
        <f>AI6+1/$C$5*(R6+3*P6/$C$5)</f>
        <v>0</v>
      </c>
      <c r="AK6" s="14"/>
      <c r="AM6" s="41">
        <f t="shared" ref="AM6:AM29" si="1">AL6+1/$C$3*(T6+3*P6/$C$3+3*Q6/$C$3)+1/$C$3*(U6+3*P6/$C$3+3*Q6/$C$3)</f>
        <v>0</v>
      </c>
      <c r="AN6" s="41">
        <f t="shared" ref="AN6:AN24" si="2">AM6</f>
        <v>0</v>
      </c>
      <c r="AO6" s="40">
        <v>0</v>
      </c>
      <c r="AP6" s="35">
        <f t="shared" ref="AP6:AP37" si="3">AO6+1/$C$5*(R6+3*P6/$C$5)</f>
        <v>0</v>
      </c>
      <c r="AQ6" s="45">
        <f t="shared" ref="AQ6" si="4">-(AJ6+AM6)</f>
        <v>0</v>
      </c>
      <c r="AR6" s="47">
        <f>AO6+1/$C$3*(T6+3*P6/$C$3+3*Q6/$C$3)+1/$C$3*(U6+3*P6/$C$3+3*Q6/$C$3)</f>
        <v>0</v>
      </c>
      <c r="AS6" s="14"/>
      <c r="AT6" s="14"/>
      <c r="AU6" s="14">
        <f>1/2/$C$5^2*(-2*O6*$C$5-$C$5^2+3*O6^2+2*$C$5*O6)+3/$C$5*(0.5-3*O6^2/2/$C$5^2)</f>
        <v>-0.41666666666666669</v>
      </c>
      <c r="AV6" s="14">
        <f>-1/$C$3*(0.5-3*O6^2/2/$C$5^2)*$P$3+1/$C$3*(0.5-3*O6^2/2/$C$5^2)*$Q$3</f>
        <v>-7.1428571428571425E-2</v>
      </c>
      <c r="AW6" s="14"/>
      <c r="AX6" s="18">
        <f>AB6</f>
        <v>0</v>
      </c>
      <c r="AY6" s="14">
        <f t="shared" ref="AY6:AY27" si="5">$Z$4/$C$5*(-($C$5^2-3*AX6^2)/2/$C$5^2)+3*$Z$4/$C$5^2*(0.5-3*AX6^2/2/$C$5^2)*$P$3</f>
        <v>-6.2117776403490699E-2</v>
      </c>
      <c r="AZ6" s="22">
        <f>N6</f>
        <v>0</v>
      </c>
      <c r="BA6" s="14">
        <f>IF(AZ6&lt;$Z$4,($C$5-$Z$4)/$C$5+$Z$4/$C$5*(-($C$5^2-3*AZ6^2)/2/$C$5^2)+3*$Z$4/$C$5^2*(0.5-3*AZ6^2/2/$C$5^2)*$P$3,($C$5-$Z$4)/$C$5-1+$Z$4/$C$5*(-($C$5^2-3*AZ6^2)/2/$C$5^2)+3*$Z$4/$C$5^2*(0.5-3*AZ6^2/2/$C$5^2)*$P$3)</f>
        <v>0.63894042465471024</v>
      </c>
      <c r="BB6" s="17">
        <f>AX6</f>
        <v>0</v>
      </c>
      <c r="BC6" s="14">
        <f t="shared" ref="BC6:BC13" si="6">IF(AND(BB6&lt;=$Z$4,BB7&lt;=$Z$4),($C$5-$Z$4)/$C$5+$Z$4/$C$5*(-($C$5^2-3*BB6^2)/2/$C$5^2)+3*$Z$4/$C$5^2*(0.5-3*BB6^2/2/$C$5^2)*$P$3,($C$5-$Z$4)/$C$5-1+$Z$4/$C$5*(-($C$5^2-3*BB6^2)/2/$C$5^2)+3*$Z$4/$C$5^2*(0.5-3*BB6^2/2/$C$5^2)*$P$3)</f>
        <v>0.63894042465471024</v>
      </c>
    </row>
    <row r="7" spans="1:55" x14ac:dyDescent="0.25">
      <c r="B7" s="24"/>
      <c r="C7" s="24"/>
      <c r="D7" s="24"/>
      <c r="E7" s="29" t="s">
        <v>36</v>
      </c>
      <c r="F7" s="26">
        <f>((-F4-(F4^2-4*F3*F5)^0.5)/2/F3)</f>
        <v>34.550503959817782</v>
      </c>
      <c r="G7" s="26">
        <f>((-G4-(G4^2-4*G3*G5)^0.5)/2/G3)</f>
        <v>7.6076951545867386</v>
      </c>
      <c r="H7" s="26">
        <f>((-H4-(H4^2-4*H3*H5)^0.5)/2/H3)</f>
        <v>-10.392304845413264</v>
      </c>
      <c r="I7" s="4"/>
      <c r="M7" s="13">
        <v>1</v>
      </c>
      <c r="N7" s="16">
        <f t="shared" ref="N7:N26" si="7">N6+$C$5/20</f>
        <v>0.9</v>
      </c>
      <c r="O7" s="16">
        <f>N7</f>
        <v>0.9</v>
      </c>
      <c r="P7" s="23">
        <f t="shared" ref="P7:P26" si="8">(O7/$C$5)*(1-O7/$C$5)*(1+O7/$C$5)*$C$5/2*$P$3</f>
        <v>1.5739772727272729</v>
      </c>
      <c r="Q7" s="18">
        <f t="shared" ref="Q7:Q26" si="9">(O7/$C$5)*(1-O7/$C$5)*(1+O7/$C$5)*$C$5/2*$Q$3</f>
        <v>-0.34977272727272724</v>
      </c>
      <c r="R7" s="18">
        <f t="shared" ref="R7:R26" si="10">-(N7*($C$5-N7)*(N7+$C$5)/(2*$C$5*$C$5))</f>
        <v>-0.44887500000000008</v>
      </c>
      <c r="S7" s="18">
        <f t="shared" ref="S7:S66" si="11">R7+(3/$C$5)*P7</f>
        <v>-0.18654545454545463</v>
      </c>
      <c r="T7" s="14"/>
      <c r="U7" s="14"/>
      <c r="V7" s="14"/>
      <c r="W7" s="16">
        <f t="shared" ref="W7:W66" si="12">V7-0.5*(T7+4/$C$3*P7+2/$C$3*Q7)+0.5*(U7+4/$C$3*Q7+2/$C$3*P7)</f>
        <v>-6.4125000000000001E-2</v>
      </c>
      <c r="X7" s="16">
        <f>$X$16/10*M7+$X$6</f>
        <v>0.45</v>
      </c>
      <c r="Y7" s="16">
        <f>X7+0.5*(R7+3/$C$5*P7)</f>
        <v>0.35672727272727267</v>
      </c>
      <c r="Z7" s="16">
        <f t="shared" ref="Z7:Z26" si="13">IF(O7&lt;=$Z$4,($C$5-$Z$4)/($C$5)*O7,($C$5-$Z$4)/($C$5)*O7-(O7-$Z$4))</f>
        <v>0.63095238095238082</v>
      </c>
      <c r="AA7" s="18">
        <f t="shared" ref="AA7:AA66" si="14">($Z$4/$C$5)*(3/$C$5)*P7+Z7+($Z$4/$C$5)*R7</f>
        <v>0.57518614718614702</v>
      </c>
      <c r="AB7" s="18">
        <f t="shared" si="0"/>
        <v>0.9</v>
      </c>
      <c r="AC7" s="18">
        <f t="shared" ref="AC7:AC27" si="15">(AB7/$C$5)*(1-AB7/$C$5)*(1+AB7/$C$5)*$C$5/2*$P$3</f>
        <v>1.5739772727272729</v>
      </c>
      <c r="AD7" s="16">
        <f t="shared" ref="AD7:AD27" si="16">IF(AB7&lt;=$Z$4,($C$5-$Z$4)/($C$5)*AB7,($C$5-$Z$4)/($C$5)*AB7-(AB7-$Z$4))</f>
        <v>0.63095238095238082</v>
      </c>
      <c r="AE7" s="16">
        <f t="shared" ref="AE7:AE27" si="17">-(AB7*($C$5-AB7)*(AB7+$C$5)/(2*$C$5*$C$5))</f>
        <v>-0.44887500000000008</v>
      </c>
      <c r="AF7" s="18">
        <f t="shared" ref="AF7:AF67" si="18">($Z$4/$C$5)*(3/$C$5)*AC7+AD7+($Z$4/$C$5)*AE7</f>
        <v>0.57518614718614702</v>
      </c>
      <c r="AG7" s="16">
        <f>AG6-1/20</f>
        <v>0.95</v>
      </c>
      <c r="AH7" s="18">
        <f>AG7+R7/$C$5+3*P7/$C$5/$C$5</f>
        <v>0.93963636363636349</v>
      </c>
      <c r="AI7" s="13">
        <f>AI6-1/20</f>
        <v>-0.05</v>
      </c>
      <c r="AJ7" s="18">
        <f t="shared" ref="AJ7:AJ66" si="19">AI7+1/$C$5*(R7+3*P7/$C$5)</f>
        <v>-6.0363636363636369E-2</v>
      </c>
      <c r="AK7" s="14"/>
      <c r="AM7" s="41">
        <f t="shared" si="1"/>
        <v>8.1613636363636385E-3</v>
      </c>
      <c r="AN7" s="41">
        <f t="shared" si="2"/>
        <v>8.1613636363636385E-3</v>
      </c>
      <c r="AO7" s="40">
        <f>AO6+1/20</f>
        <v>0.05</v>
      </c>
      <c r="AP7" s="35">
        <f t="shared" si="3"/>
        <v>3.9636363636363636E-2</v>
      </c>
      <c r="AQ7" s="45">
        <f>-(AJ7-AM7)</f>
        <v>6.8525000000000003E-2</v>
      </c>
      <c r="AR7" s="47">
        <f t="shared" ref="AR7:AR66" si="20">AO7+1/$C$3*(T7+3*P7/$C$3+3*Q7/$C$3)+1/$C$3*(U7+3*P7/$C$3+3*Q7/$C$3)</f>
        <v>5.8161363636363636E-2</v>
      </c>
      <c r="AS7" s="14"/>
      <c r="AT7" s="14"/>
      <c r="AU7" s="14">
        <f t="shared" ref="AU7:AU26" si="21">1/2/$C$5^2*(-2*O7*$C$5-$C$5^2+3*O7^2+2*$C$5*O7)+3/$C$5*(0.5-3*O7^2/2/$C$5^2)</f>
        <v>-0.41354166666666664</v>
      </c>
      <c r="AV7" s="14">
        <f t="shared" ref="AV7:AV26" si="22">-1/$C$3*(0.5-3*O7^2/2/$C$5^2)*$P$3+1/$C$3*(0.5-3*O7^2/2/$C$5^2)*$Q$3</f>
        <v>-7.0892857142857146E-2</v>
      </c>
      <c r="AW7" s="14"/>
      <c r="AX7" s="18">
        <f t="shared" ref="AX7:AX67" si="23">AB7</f>
        <v>0.9</v>
      </c>
      <c r="AY7" s="14">
        <f t="shared" si="5"/>
        <v>-6.1651893080464509E-2</v>
      </c>
      <c r="AZ7" s="22">
        <f t="shared" ref="AZ7:AZ26" si="24">N7</f>
        <v>0.9</v>
      </c>
      <c r="BA7" s="14">
        <f t="shared" ref="BA7:BA26" si="25">IF(AZ7&lt;$Z$4,($C$5-$Z$4)/$C$5+$Z$4/$C$5*(-($C$5^2-3*AZ7^2)/2/$C$5^2)+3*$Z$4/$C$5^2*(0.5-3*AZ7^2/2/$C$5^2)*$P$3,($C$5-$Z$4)/$C$5-1+$Z$4/$C$5*(-($C$5^2-3*AZ7^2)/2/$C$5^2)+3*$Z$4/$C$5^2*(0.5-3*AZ7^2/2/$C$5^2)*$P$3)</f>
        <v>0.63940630797773634</v>
      </c>
      <c r="BB7" s="14">
        <f>IF(AX7&lt;=$Z$4,AX7,IF(AND(AX7&gt;$Z$4,AX6&lt;$Z$4),$Z$4,AX6))</f>
        <v>0.9</v>
      </c>
      <c r="BC7" s="14">
        <f t="shared" si="6"/>
        <v>0.63940630797773634</v>
      </c>
    </row>
    <row r="8" spans="1:55" x14ac:dyDescent="0.25">
      <c r="M8" s="13">
        <v>2</v>
      </c>
      <c r="N8" s="16">
        <f t="shared" si="7"/>
        <v>1.8</v>
      </c>
      <c r="O8" s="16">
        <f t="shared" ref="O8:O25" si="26">N8</f>
        <v>1.8</v>
      </c>
      <c r="P8" s="18">
        <f t="shared" si="8"/>
        <v>3.1242857142857146</v>
      </c>
      <c r="Q8" s="18">
        <f t="shared" si="9"/>
        <v>-0.69428571428571428</v>
      </c>
      <c r="R8" s="18">
        <f t="shared" si="10"/>
        <v>-0.89100000000000013</v>
      </c>
      <c r="S8" s="18">
        <f t="shared" si="11"/>
        <v>-0.37028571428571444</v>
      </c>
      <c r="T8" s="14"/>
      <c r="U8" s="14"/>
      <c r="V8" s="14"/>
      <c r="W8" s="16">
        <f>V8-0.5*(T8+4/$C$3*P8+2/$C$3*Q8)+0.5*(U8+4/$C$3*Q8+2/$C$3*P8)</f>
        <v>-0.12728571428571431</v>
      </c>
      <c r="X8" s="16">
        <f t="shared" ref="X8:X15" si="27">$X$16/10*M8+$X$6</f>
        <v>0.9</v>
      </c>
      <c r="Y8" s="16">
        <f t="shared" ref="Y8:Y66" si="28">X8+0.5*(R8+3/$C$5*P8)</f>
        <v>0.71485714285714286</v>
      </c>
      <c r="Z8" s="16">
        <f t="shared" si="13"/>
        <v>1.2619047619047616</v>
      </c>
      <c r="AA8" s="18">
        <f t="shared" si="14"/>
        <v>1.1512108843537412</v>
      </c>
      <c r="AB8" s="18">
        <f t="shared" si="0"/>
        <v>1.8</v>
      </c>
      <c r="AC8" s="18">
        <f t="shared" si="15"/>
        <v>3.1242857142857146</v>
      </c>
      <c r="AD8" s="16">
        <f t="shared" si="16"/>
        <v>1.2619047619047616</v>
      </c>
      <c r="AE8" s="16">
        <f t="shared" si="17"/>
        <v>-0.89100000000000013</v>
      </c>
      <c r="AF8" s="18">
        <f t="shared" si="18"/>
        <v>1.1512108843537412</v>
      </c>
      <c r="AG8" s="16">
        <f t="shared" ref="AG8:AG25" si="29">AG7-1/20</f>
        <v>0.89999999999999991</v>
      </c>
      <c r="AH8" s="18">
        <f t="shared" ref="AH8:AH45" si="30">AG8+R8/$C$5+3*P8/$C$5/$C$5</f>
        <v>0.87942857142857134</v>
      </c>
      <c r="AI8" s="13">
        <f t="shared" ref="AI8:AI25" si="31">AI7-1/20</f>
        <v>-0.1</v>
      </c>
      <c r="AJ8" s="18">
        <f t="shared" si="19"/>
        <v>-0.12057142857142858</v>
      </c>
      <c r="AK8" s="14"/>
      <c r="AM8" s="41">
        <f t="shared" si="1"/>
        <v>1.6200000000000003E-2</v>
      </c>
      <c r="AN8" s="41">
        <f t="shared" si="2"/>
        <v>1.6200000000000003E-2</v>
      </c>
      <c r="AO8" s="40">
        <f t="shared" ref="AO8:AO26" si="32">AO7+1/20</f>
        <v>0.1</v>
      </c>
      <c r="AP8" s="35">
        <f t="shared" si="3"/>
        <v>7.9428571428571432E-2</v>
      </c>
      <c r="AQ8" s="45">
        <f t="shared" ref="AQ8:AQ25" si="33">-(AJ8-AM8)</f>
        <v>0.13677142857142857</v>
      </c>
      <c r="AR8" s="47">
        <f t="shared" si="20"/>
        <v>0.1162</v>
      </c>
      <c r="AS8" s="14"/>
      <c r="AT8" s="14"/>
      <c r="AU8" s="14">
        <f t="shared" si="21"/>
        <v>-0.40416666666666662</v>
      </c>
      <c r="AV8" s="14">
        <f t="shared" si="22"/>
        <v>-6.9285714285714284E-2</v>
      </c>
      <c r="AW8" s="14"/>
      <c r="AX8" s="18">
        <f t="shared" si="23"/>
        <v>1.8</v>
      </c>
      <c r="AY8" s="14">
        <f t="shared" si="5"/>
        <v>-6.0254243111385955E-2</v>
      </c>
      <c r="AZ8" s="22">
        <f t="shared" si="24"/>
        <v>1.8</v>
      </c>
      <c r="BA8" s="14">
        <f t="shared" si="25"/>
        <v>0.64080395794681499</v>
      </c>
      <c r="BB8" s="14">
        <f t="shared" ref="BB8:BB67" si="34">IF(AX8&lt;=$Z$4,AX8,IF(AND(AX8&gt;$Z$4,AX7&lt;$Z$4),$Z$4,AX7))</f>
        <v>1.8</v>
      </c>
      <c r="BC8" s="14">
        <f t="shared" si="6"/>
        <v>0.64080395794681499</v>
      </c>
    </row>
    <row r="9" spans="1:55" x14ac:dyDescent="0.25">
      <c r="A9" s="3"/>
      <c r="B9" s="3"/>
      <c r="C9" s="3"/>
      <c r="D9" s="3"/>
      <c r="E9" s="3"/>
      <c r="F9" s="3"/>
      <c r="G9" s="3"/>
      <c r="M9" s="13">
        <v>3</v>
      </c>
      <c r="N9" s="16">
        <f t="shared" si="7"/>
        <v>2.7</v>
      </c>
      <c r="O9" s="16">
        <f t="shared" si="26"/>
        <v>2.7</v>
      </c>
      <c r="P9" s="18">
        <f t="shared" si="8"/>
        <v>4.6272564935064926</v>
      </c>
      <c r="Q9" s="18">
        <f t="shared" si="9"/>
        <v>-1.0282792207792206</v>
      </c>
      <c r="R9" s="18">
        <f t="shared" si="10"/>
        <v>-1.319625</v>
      </c>
      <c r="S9" s="18">
        <f t="shared" si="11"/>
        <v>-0.54841558441558469</v>
      </c>
      <c r="T9" s="14"/>
      <c r="U9" s="14"/>
      <c r="V9" s="14"/>
      <c r="W9" s="16">
        <f t="shared" si="12"/>
        <v>-0.18851785714285707</v>
      </c>
      <c r="X9" s="16">
        <f t="shared" si="27"/>
        <v>1.35</v>
      </c>
      <c r="Y9" s="16">
        <f t="shared" si="28"/>
        <v>1.0757922077922077</v>
      </c>
      <c r="Z9" s="16">
        <f t="shared" si="13"/>
        <v>1.8928571428571426</v>
      </c>
      <c r="AA9" s="18">
        <f t="shared" si="14"/>
        <v>1.7289128014842299</v>
      </c>
      <c r="AB9" s="18">
        <f t="shared" si="0"/>
        <v>2.7</v>
      </c>
      <c r="AC9" s="18">
        <f t="shared" si="15"/>
        <v>4.6272564935064926</v>
      </c>
      <c r="AD9" s="16">
        <f t="shared" si="16"/>
        <v>1.8928571428571426</v>
      </c>
      <c r="AE9" s="16">
        <f t="shared" si="17"/>
        <v>-1.319625</v>
      </c>
      <c r="AF9" s="18">
        <f t="shared" si="18"/>
        <v>1.7289128014842299</v>
      </c>
      <c r="AG9" s="16">
        <f t="shared" si="29"/>
        <v>0.84999999999999987</v>
      </c>
      <c r="AH9" s="18">
        <f t="shared" si="30"/>
        <v>0.81953246753246733</v>
      </c>
      <c r="AI9" s="13">
        <f t="shared" si="31"/>
        <v>-0.15000000000000002</v>
      </c>
      <c r="AJ9" s="18">
        <f t="shared" si="19"/>
        <v>-0.1804675324675325</v>
      </c>
      <c r="AK9" s="14"/>
      <c r="AM9" s="41">
        <f t="shared" si="1"/>
        <v>2.3993181818181813E-2</v>
      </c>
      <c r="AN9" s="41">
        <f t="shared" si="2"/>
        <v>2.3993181818181813E-2</v>
      </c>
      <c r="AO9" s="40">
        <f t="shared" si="32"/>
        <v>0.15000000000000002</v>
      </c>
      <c r="AP9" s="35">
        <f t="shared" si="3"/>
        <v>0.11953246753246755</v>
      </c>
      <c r="AQ9" s="45">
        <f t="shared" si="33"/>
        <v>0.2044607142857143</v>
      </c>
      <c r="AR9" s="47">
        <f t="shared" si="20"/>
        <v>0.17399318181818185</v>
      </c>
      <c r="AS9" s="14"/>
      <c r="AT9" s="14"/>
      <c r="AU9" s="14">
        <f t="shared" si="21"/>
        <v>-0.38854166666666662</v>
      </c>
      <c r="AV9" s="14">
        <f t="shared" si="22"/>
        <v>-6.6607142857142865E-2</v>
      </c>
      <c r="AW9" s="14"/>
      <c r="AX9" s="18">
        <f t="shared" si="23"/>
        <v>2.7</v>
      </c>
      <c r="AY9" s="14">
        <f t="shared" si="5"/>
        <v>-5.7924826496255077E-2</v>
      </c>
      <c r="AZ9" s="22">
        <f t="shared" si="24"/>
        <v>2.7</v>
      </c>
      <c r="BA9" s="14">
        <f t="shared" si="25"/>
        <v>0.64313337456194586</v>
      </c>
      <c r="BB9" s="14">
        <f t="shared" si="34"/>
        <v>2.7</v>
      </c>
      <c r="BC9" s="14">
        <f t="shared" si="6"/>
        <v>0.64313337456194586</v>
      </c>
    </row>
    <row r="10" spans="1:55" x14ac:dyDescent="0.25">
      <c r="A10" s="3"/>
      <c r="B10" s="4"/>
      <c r="C10" s="4"/>
      <c r="D10" s="4"/>
      <c r="E10" s="4"/>
      <c r="F10" s="11"/>
      <c r="G10" s="3"/>
      <c r="M10" s="13">
        <v>4</v>
      </c>
      <c r="N10" s="16">
        <f t="shared" si="7"/>
        <v>3.6</v>
      </c>
      <c r="O10" s="16">
        <f t="shared" si="26"/>
        <v>3.6</v>
      </c>
      <c r="P10" s="18">
        <f t="shared" si="8"/>
        <v>6.0592207792207802</v>
      </c>
      <c r="Q10" s="18">
        <f t="shared" si="9"/>
        <v>-1.3464935064935066</v>
      </c>
      <c r="R10" s="18">
        <f t="shared" si="10"/>
        <v>-1.7280000000000002</v>
      </c>
      <c r="S10" s="18">
        <f t="shared" si="11"/>
        <v>-0.71812987012987017</v>
      </c>
      <c r="T10" s="14"/>
      <c r="U10" s="14"/>
      <c r="V10" s="14"/>
      <c r="W10" s="16">
        <f t="shared" si="12"/>
        <v>-0.24685714285714286</v>
      </c>
      <c r="X10" s="16">
        <f t="shared" si="27"/>
        <v>1.8</v>
      </c>
      <c r="Y10" s="16">
        <f t="shared" si="28"/>
        <v>1.440935064935065</v>
      </c>
      <c r="Z10" s="16">
        <f t="shared" si="13"/>
        <v>2.5238095238095233</v>
      </c>
      <c r="AA10" s="18">
        <f t="shared" si="14"/>
        <v>2.3091304885590591</v>
      </c>
      <c r="AB10" s="18">
        <f t="shared" si="0"/>
        <v>3.6</v>
      </c>
      <c r="AC10" s="18">
        <f t="shared" si="15"/>
        <v>6.0592207792207802</v>
      </c>
      <c r="AD10" s="16">
        <f t="shared" si="16"/>
        <v>2.5238095238095233</v>
      </c>
      <c r="AE10" s="16">
        <f t="shared" si="17"/>
        <v>-1.7280000000000002</v>
      </c>
      <c r="AF10" s="18">
        <f t="shared" si="18"/>
        <v>2.3091304885590591</v>
      </c>
      <c r="AG10" s="16">
        <f t="shared" si="29"/>
        <v>0.79999999999999982</v>
      </c>
      <c r="AH10" s="18">
        <f t="shared" si="30"/>
        <v>0.76010389610389595</v>
      </c>
      <c r="AI10" s="13">
        <f t="shared" si="31"/>
        <v>-0.2</v>
      </c>
      <c r="AJ10" s="18">
        <f t="shared" si="19"/>
        <v>-0.23989610389610391</v>
      </c>
      <c r="AK10" s="14"/>
      <c r="AM10" s="41">
        <f t="shared" si="1"/>
        <v>3.1418181818181817E-2</v>
      </c>
      <c r="AN10" s="41">
        <f t="shared" si="2"/>
        <v>3.1418181818181817E-2</v>
      </c>
      <c r="AO10" s="40">
        <f t="shared" si="32"/>
        <v>0.2</v>
      </c>
      <c r="AP10" s="35">
        <f t="shared" si="3"/>
        <v>0.16010389610389611</v>
      </c>
      <c r="AQ10" s="45">
        <f t="shared" si="33"/>
        <v>0.27131428571428573</v>
      </c>
      <c r="AR10" s="47">
        <f t="shared" si="20"/>
        <v>0.2314181818181818</v>
      </c>
      <c r="AS10" s="14"/>
      <c r="AT10" s="14"/>
      <c r="AU10" s="14">
        <f t="shared" si="21"/>
        <v>-0.3666666666666667</v>
      </c>
      <c r="AV10" s="14">
        <f t="shared" si="22"/>
        <v>-6.2857142857142861E-2</v>
      </c>
      <c r="AW10" s="14"/>
      <c r="AX10" s="18">
        <f t="shared" si="23"/>
        <v>3.6</v>
      </c>
      <c r="AY10" s="14">
        <f t="shared" si="5"/>
        <v>-5.4663643235071807E-2</v>
      </c>
      <c r="AZ10" s="22">
        <f t="shared" si="24"/>
        <v>3.6</v>
      </c>
      <c r="BA10" s="14">
        <f t="shared" si="25"/>
        <v>0.64639455782312905</v>
      </c>
      <c r="BB10" s="14">
        <f t="shared" si="34"/>
        <v>3.6</v>
      </c>
      <c r="BC10" s="14">
        <f t="shared" si="6"/>
        <v>0.64639455782312905</v>
      </c>
    </row>
    <row r="11" spans="1:55" x14ac:dyDescent="0.25">
      <c r="A11" s="3"/>
      <c r="B11" s="4"/>
      <c r="C11" s="4"/>
      <c r="D11" s="4"/>
      <c r="E11" s="4"/>
      <c r="F11" s="4"/>
      <c r="G11" s="3"/>
      <c r="M11" s="13">
        <v>5</v>
      </c>
      <c r="N11" s="16">
        <f t="shared" si="7"/>
        <v>4.5</v>
      </c>
      <c r="O11" s="16">
        <f t="shared" si="26"/>
        <v>4.5</v>
      </c>
      <c r="P11" s="18">
        <f t="shared" si="8"/>
        <v>7.3965097402597406</v>
      </c>
      <c r="Q11" s="18">
        <f t="shared" si="9"/>
        <v>-1.643668831168831</v>
      </c>
      <c r="R11" s="18">
        <f t="shared" si="10"/>
        <v>-2.109375</v>
      </c>
      <c r="S11" s="18">
        <f t="shared" si="11"/>
        <v>-0.87662337662337664</v>
      </c>
      <c r="T11" s="14"/>
      <c r="U11" s="14"/>
      <c r="V11" s="14"/>
      <c r="W11" s="16">
        <f t="shared" si="12"/>
        <v>-0.3013392857142857</v>
      </c>
      <c r="X11" s="16">
        <f t="shared" si="27"/>
        <v>2.25</v>
      </c>
      <c r="Y11" s="16">
        <f t="shared" si="28"/>
        <v>1.8116883116883118</v>
      </c>
      <c r="Z11" s="16">
        <f t="shared" si="13"/>
        <v>3.1547619047619042</v>
      </c>
      <c r="AA11" s="18">
        <f t="shared" si="14"/>
        <v>2.8927025355596778</v>
      </c>
      <c r="AB11" s="18">
        <f t="shared" si="0"/>
        <v>4.5</v>
      </c>
      <c r="AC11" s="18">
        <f t="shared" si="15"/>
        <v>7.3965097402597406</v>
      </c>
      <c r="AD11" s="16">
        <f t="shared" si="16"/>
        <v>3.1547619047619042</v>
      </c>
      <c r="AE11" s="16">
        <f t="shared" si="17"/>
        <v>-2.109375</v>
      </c>
      <c r="AF11" s="18">
        <f t="shared" si="18"/>
        <v>2.8927025355596778</v>
      </c>
      <c r="AG11" s="16">
        <f t="shared" si="29"/>
        <v>0.74999999999999978</v>
      </c>
      <c r="AH11" s="18">
        <f t="shared" si="30"/>
        <v>0.70129870129870109</v>
      </c>
      <c r="AI11" s="13">
        <f t="shared" si="31"/>
        <v>-0.25</v>
      </c>
      <c r="AJ11" s="18">
        <f t="shared" si="19"/>
        <v>-0.29870129870129869</v>
      </c>
      <c r="AK11" s="14"/>
      <c r="AM11" s="41">
        <f t="shared" si="1"/>
        <v>3.8352272727272728E-2</v>
      </c>
      <c r="AN11" s="41">
        <f t="shared" si="2"/>
        <v>3.8352272727272728E-2</v>
      </c>
      <c r="AO11" s="40">
        <f t="shared" si="32"/>
        <v>0.25</v>
      </c>
      <c r="AP11" s="35">
        <f t="shared" si="3"/>
        <v>0.20129870129870131</v>
      </c>
      <c r="AQ11" s="45">
        <f t="shared" si="33"/>
        <v>0.3370535714285714</v>
      </c>
      <c r="AR11" s="47">
        <f t="shared" si="20"/>
        <v>0.28835227272727271</v>
      </c>
      <c r="AS11" s="14"/>
      <c r="AT11" s="14"/>
      <c r="AU11" s="14">
        <f t="shared" si="21"/>
        <v>-0.33854166666666669</v>
      </c>
      <c r="AV11" s="14">
        <f t="shared" si="22"/>
        <v>-5.8035714285714288E-2</v>
      </c>
      <c r="AW11" s="14"/>
      <c r="AX11" s="18">
        <f t="shared" si="23"/>
        <v>4.5</v>
      </c>
      <c r="AY11" s="14">
        <f t="shared" si="5"/>
        <v>-5.04706933278362E-2</v>
      </c>
      <c r="AZ11" s="22">
        <f t="shared" si="24"/>
        <v>4.5</v>
      </c>
      <c r="BA11" s="14">
        <f t="shared" si="25"/>
        <v>0.65058750773036478</v>
      </c>
      <c r="BB11" s="14">
        <f t="shared" si="34"/>
        <v>4.5</v>
      </c>
      <c r="BC11" s="14">
        <f t="shared" si="6"/>
        <v>0.65058750773036478</v>
      </c>
    </row>
    <row r="12" spans="1:55" x14ac:dyDescent="0.25">
      <c r="M12" s="13">
        <v>6</v>
      </c>
      <c r="N12" s="16">
        <f t="shared" si="7"/>
        <v>5.4</v>
      </c>
      <c r="O12" s="16">
        <f t="shared" si="26"/>
        <v>5.4</v>
      </c>
      <c r="P12" s="18">
        <f t="shared" si="8"/>
        <v>8.615454545454547</v>
      </c>
      <c r="Q12" s="18">
        <f t="shared" si="9"/>
        <v>-1.9145454545454546</v>
      </c>
      <c r="R12" s="18">
        <f t="shared" si="10"/>
        <v>-2.4569999999999999</v>
      </c>
      <c r="S12" s="18">
        <f t="shared" si="11"/>
        <v>-1.0210909090909088</v>
      </c>
      <c r="T12" s="14"/>
      <c r="U12" s="14"/>
      <c r="V12" s="14"/>
      <c r="W12" s="16">
        <f t="shared" si="12"/>
        <v>-0.35100000000000009</v>
      </c>
      <c r="X12" s="16">
        <f t="shared" si="27"/>
        <v>2.7</v>
      </c>
      <c r="Y12" s="16">
        <f t="shared" si="28"/>
        <v>2.189454545454546</v>
      </c>
      <c r="Z12" s="16">
        <f t="shared" si="13"/>
        <v>3.7666666666666671</v>
      </c>
      <c r="AA12" s="18">
        <f t="shared" si="14"/>
        <v>3.4614199134199137</v>
      </c>
      <c r="AB12" s="18">
        <f t="shared" si="0"/>
        <v>5.3809523809523823</v>
      </c>
      <c r="AC12" s="18">
        <f t="shared" si="15"/>
        <v>8.591044299256156</v>
      </c>
      <c r="AD12" s="16">
        <f t="shared" si="16"/>
        <v>3.7723607961703203</v>
      </c>
      <c r="AE12" s="16">
        <f t="shared" si="17"/>
        <v>-2.4500385594174969</v>
      </c>
      <c r="AF12" s="18">
        <f t="shared" si="18"/>
        <v>3.4679789013426672</v>
      </c>
      <c r="AG12" s="16">
        <f t="shared" si="29"/>
        <v>0.69999999999999973</v>
      </c>
      <c r="AH12" s="18">
        <f t="shared" si="30"/>
        <v>0.64327272727272711</v>
      </c>
      <c r="AI12" s="13">
        <f t="shared" si="31"/>
        <v>-0.3</v>
      </c>
      <c r="AJ12" s="18">
        <f t="shared" si="19"/>
        <v>-0.35672727272727267</v>
      </c>
      <c r="AK12" s="14"/>
      <c r="AM12" s="41">
        <f t="shared" si="1"/>
        <v>4.4672727272727288E-2</v>
      </c>
      <c r="AN12" s="41">
        <f t="shared" si="2"/>
        <v>4.4672727272727288E-2</v>
      </c>
      <c r="AO12" s="40">
        <f t="shared" si="32"/>
        <v>0.3</v>
      </c>
      <c r="AP12" s="35">
        <f t="shared" si="3"/>
        <v>0.24327272727272731</v>
      </c>
      <c r="AQ12" s="45">
        <f t="shared" si="33"/>
        <v>0.40139999999999998</v>
      </c>
      <c r="AR12" s="47">
        <f t="shared" si="20"/>
        <v>0.3446727272727273</v>
      </c>
      <c r="AS12" s="14"/>
      <c r="AT12" s="14"/>
      <c r="AU12" s="14">
        <f t="shared" si="21"/>
        <v>-0.30416666666666653</v>
      </c>
      <c r="AV12" s="14">
        <f t="shared" si="22"/>
        <v>-5.2142857142857137E-2</v>
      </c>
      <c r="AW12" s="14"/>
      <c r="AX12" s="18">
        <f t="shared" si="23"/>
        <v>5.3809523809523823</v>
      </c>
      <c r="AY12" s="14">
        <f t="shared" si="5"/>
        <v>-4.5464087672152556E-2</v>
      </c>
      <c r="AZ12" s="22">
        <f t="shared" si="24"/>
        <v>5.4</v>
      </c>
      <c r="BA12" s="14">
        <f t="shared" si="25"/>
        <v>-0.34428777571634728</v>
      </c>
      <c r="BB12" s="14">
        <f t="shared" si="34"/>
        <v>5.3809523809523823</v>
      </c>
      <c r="BC12" s="14">
        <f t="shared" si="6"/>
        <v>0.65559411338604834</v>
      </c>
    </row>
    <row r="13" spans="1:55" x14ac:dyDescent="0.25">
      <c r="M13" s="13">
        <v>7</v>
      </c>
      <c r="N13" s="16">
        <f t="shared" si="7"/>
        <v>6.3000000000000007</v>
      </c>
      <c r="O13" s="16">
        <f t="shared" si="26"/>
        <v>6.3000000000000007</v>
      </c>
      <c r="P13" s="18">
        <f t="shared" si="8"/>
        <v>9.6923863636363627</v>
      </c>
      <c r="Q13" s="18">
        <f t="shared" si="9"/>
        <v>-2.1538636363636363</v>
      </c>
      <c r="R13" s="18">
        <f t="shared" si="10"/>
        <v>-2.7641250000000004</v>
      </c>
      <c r="S13" s="18">
        <f t="shared" si="11"/>
        <v>-1.1487272727272733</v>
      </c>
      <c r="T13" s="14"/>
      <c r="U13" s="14"/>
      <c r="V13" s="14"/>
      <c r="W13" s="16">
        <f t="shared" si="12"/>
        <v>-0.39487499999999998</v>
      </c>
      <c r="X13" s="16">
        <f t="shared" si="27"/>
        <v>3.15</v>
      </c>
      <c r="Y13" s="16">
        <f t="shared" si="28"/>
        <v>2.5756363636363631</v>
      </c>
      <c r="Z13" s="16">
        <f t="shared" si="13"/>
        <v>3.4976190476190476</v>
      </c>
      <c r="AA13" s="18">
        <f>($Z$4/$C$5)*(3/$C$5)*P13+Z13+($Z$4/$C$5)*R13</f>
        <v>3.1542164502164503</v>
      </c>
      <c r="AB13" s="18">
        <f t="shared" si="0"/>
        <v>5.4</v>
      </c>
      <c r="AC13" s="18">
        <f t="shared" si="15"/>
        <v>8.615454545454547</v>
      </c>
      <c r="AD13" s="16">
        <f t="shared" si="16"/>
        <v>3.7666666666666671</v>
      </c>
      <c r="AE13" s="16">
        <f t="shared" si="17"/>
        <v>-2.4569999999999999</v>
      </c>
      <c r="AF13" s="18">
        <f t="shared" si="18"/>
        <v>3.4614199134199137</v>
      </c>
      <c r="AG13" s="16">
        <f t="shared" si="29"/>
        <v>0.64999999999999969</v>
      </c>
      <c r="AH13" s="18">
        <f t="shared" si="30"/>
        <v>0.5861818181818178</v>
      </c>
      <c r="AI13" s="13">
        <f t="shared" si="31"/>
        <v>-0.35</v>
      </c>
      <c r="AJ13" s="18">
        <f t="shared" si="19"/>
        <v>-0.41381818181818181</v>
      </c>
      <c r="AK13" s="14"/>
      <c r="AM13" s="41">
        <f t="shared" si="1"/>
        <v>5.0256818181818173E-2</v>
      </c>
      <c r="AN13" s="41">
        <f t="shared" si="2"/>
        <v>5.0256818181818173E-2</v>
      </c>
      <c r="AO13" s="40">
        <f t="shared" si="32"/>
        <v>0.35</v>
      </c>
      <c r="AP13" s="35">
        <f t="shared" si="3"/>
        <v>0.28618181818181815</v>
      </c>
      <c r="AQ13" s="45">
        <f t="shared" si="33"/>
        <v>0.46407499999999996</v>
      </c>
      <c r="AR13" s="47">
        <f t="shared" si="20"/>
        <v>0.40025681818181813</v>
      </c>
      <c r="AS13" s="14"/>
      <c r="AT13" s="14"/>
      <c r="AU13" s="14">
        <f t="shared" si="21"/>
        <v>-0.26354166666666651</v>
      </c>
      <c r="AV13" s="14">
        <f t="shared" si="22"/>
        <v>-4.5178571428571415E-2</v>
      </c>
      <c r="AW13" s="14"/>
      <c r="AX13" s="18">
        <f t="shared" si="23"/>
        <v>5.4</v>
      </c>
      <c r="AY13" s="14">
        <f t="shared" si="5"/>
        <v>-4.5345976774548213E-2</v>
      </c>
      <c r="AZ13" s="22">
        <f t="shared" si="24"/>
        <v>6.3000000000000007</v>
      </c>
      <c r="BA13" s="14">
        <f t="shared" si="25"/>
        <v>-0.33823129251700695</v>
      </c>
      <c r="BB13" s="14">
        <f t="shared" si="34"/>
        <v>5.3809523809523823</v>
      </c>
      <c r="BC13" s="14">
        <f t="shared" si="6"/>
        <v>-0.34440588661395161</v>
      </c>
    </row>
    <row r="14" spans="1:55" x14ac:dyDescent="0.25">
      <c r="M14" s="13">
        <v>8</v>
      </c>
      <c r="N14" s="16">
        <f t="shared" si="7"/>
        <v>7.2000000000000011</v>
      </c>
      <c r="O14" s="16">
        <f t="shared" si="26"/>
        <v>7.2000000000000011</v>
      </c>
      <c r="P14" s="18">
        <f t="shared" si="8"/>
        <v>10.603636363636364</v>
      </c>
      <c r="Q14" s="18">
        <f t="shared" si="9"/>
        <v>-2.356363636363636</v>
      </c>
      <c r="R14" s="18">
        <f t="shared" si="10"/>
        <v>-3.0240000000000005</v>
      </c>
      <c r="S14" s="18">
        <f t="shared" si="11"/>
        <v>-1.2567272727272734</v>
      </c>
      <c r="T14" s="14"/>
      <c r="U14" s="14"/>
      <c r="V14" s="14"/>
      <c r="W14" s="16">
        <f>V14-0.5*(T14+4/$C$3*P14+2/$C$3*Q14)+0.5*(U14+4/$C$3*Q14+2/$C$3*P14)</f>
        <v>-0.43200000000000005</v>
      </c>
      <c r="X14" s="16">
        <f t="shared" si="27"/>
        <v>3.6</v>
      </c>
      <c r="Y14" s="16">
        <f t="shared" si="28"/>
        <v>2.9716363636363634</v>
      </c>
      <c r="Z14" s="16">
        <f t="shared" si="13"/>
        <v>3.2285714285714286</v>
      </c>
      <c r="AA14" s="18">
        <f t="shared" si="14"/>
        <v>2.8528831168831168</v>
      </c>
      <c r="AB14" s="18">
        <f>IF(N14&lt;$Z$4,N14,IF(AND(N14&gt;$Z$4,N13&lt;$Z$4),$Z$4,N13))</f>
        <v>6.3000000000000007</v>
      </c>
      <c r="AC14" s="18">
        <f t="shared" si="15"/>
        <v>9.6923863636363627</v>
      </c>
      <c r="AD14" s="16">
        <f t="shared" si="16"/>
        <v>3.4976190476190476</v>
      </c>
      <c r="AE14" s="16">
        <f t="shared" si="17"/>
        <v>-2.7641250000000004</v>
      </c>
      <c r="AF14" s="18">
        <f>($Z$4/$C$5)*(3/$C$5)*AC14+AD14+($Z$4/$C$5)*AE14</f>
        <v>3.1542164502164503</v>
      </c>
      <c r="AG14" s="16">
        <f t="shared" si="29"/>
        <v>0.59999999999999964</v>
      </c>
      <c r="AH14" s="18">
        <f t="shared" si="30"/>
        <v>0.53018181818181775</v>
      </c>
      <c r="AI14" s="13">
        <f t="shared" si="31"/>
        <v>-0.39999999999999997</v>
      </c>
      <c r="AJ14" s="18">
        <f t="shared" si="19"/>
        <v>-0.4698181818181818</v>
      </c>
      <c r="AK14" s="14"/>
      <c r="AM14" s="41">
        <f t="shared" si="1"/>
        <v>5.498181818181818E-2</v>
      </c>
      <c r="AN14" s="41">
        <f t="shared" si="2"/>
        <v>5.498181818181818E-2</v>
      </c>
      <c r="AO14" s="40">
        <f t="shared" si="32"/>
        <v>0.39999999999999997</v>
      </c>
      <c r="AP14" s="35">
        <f t="shared" si="3"/>
        <v>0.33018181818181813</v>
      </c>
      <c r="AQ14" s="45">
        <f t="shared" si="33"/>
        <v>0.52479999999999993</v>
      </c>
      <c r="AR14" s="47">
        <f t="shared" si="20"/>
        <v>0.4549818181818181</v>
      </c>
      <c r="AS14" s="14"/>
      <c r="AT14" s="14"/>
      <c r="AU14" s="14">
        <f t="shared" si="21"/>
        <v>-0.21666666666666662</v>
      </c>
      <c r="AV14" s="14">
        <f t="shared" si="22"/>
        <v>-3.714285714285713E-2</v>
      </c>
      <c r="AW14" s="14"/>
      <c r="AX14" s="18">
        <f t="shared" si="23"/>
        <v>6.3000000000000007</v>
      </c>
      <c r="AY14" s="14">
        <f t="shared" si="5"/>
        <v>-3.9289493575207862E-2</v>
      </c>
      <c r="AZ14" s="22">
        <f t="shared" si="24"/>
        <v>7.2000000000000011</v>
      </c>
      <c r="BA14" s="14">
        <f t="shared" si="25"/>
        <v>-0.33124304267161425</v>
      </c>
      <c r="BB14" s="14">
        <f t="shared" si="34"/>
        <v>5.4</v>
      </c>
      <c r="BC14" s="14">
        <f>IF(AND(BB14&lt;=$Z$4,BB15&lt;=$Z$4),($C$5-$Z$4)/$C$5+$Z$4/$C$5*(-($C$5^2-3*BB14^2)/2/$C$5^2)+3*$Z$4/$C$5^2*(0.5-3*BB14^2/2/$C$5^2)*$P$3,($C$5-$Z$4)/$C$5-1+$Z$4/$C$5*(-($C$5^2-3*BB14^2)/2/$C$5^2)+3*$Z$4/$C$5^2*(0.5-3*BB14^2/2/$C$5^2)*$P$3)</f>
        <v>-0.34428777571634728</v>
      </c>
    </row>
    <row r="15" spans="1:55" x14ac:dyDescent="0.25">
      <c r="M15" s="13">
        <v>9</v>
      </c>
      <c r="N15" s="16">
        <f t="shared" si="7"/>
        <v>8.1000000000000014</v>
      </c>
      <c r="O15" s="16">
        <f t="shared" si="26"/>
        <v>8.1000000000000014</v>
      </c>
      <c r="P15" s="18">
        <f t="shared" si="8"/>
        <v>11.325535714285717</v>
      </c>
      <c r="Q15" s="18">
        <f t="shared" si="9"/>
        <v>-2.5167857142857146</v>
      </c>
      <c r="R15" s="18">
        <f t="shared" si="10"/>
        <v>-3.2298749999999998</v>
      </c>
      <c r="S15" s="18">
        <f t="shared" si="11"/>
        <v>-1.3422857142857136</v>
      </c>
      <c r="T15" s="14"/>
      <c r="U15" s="14"/>
      <c r="V15" s="14"/>
      <c r="W15" s="16">
        <f t="shared" si="12"/>
        <v>-0.46141071428571434</v>
      </c>
      <c r="X15" s="16">
        <f t="shared" si="27"/>
        <v>4.05</v>
      </c>
      <c r="Y15" s="16">
        <f t="shared" si="28"/>
        <v>3.378857142857143</v>
      </c>
      <c r="Z15" s="16">
        <f t="shared" si="13"/>
        <v>2.9595238095238097</v>
      </c>
      <c r="AA15" s="18">
        <f t="shared" si="14"/>
        <v>2.558258503401361</v>
      </c>
      <c r="AB15" s="18">
        <f t="shared" ref="AB15:AB66" si="35">IF(N15&lt;$Z$4,N15,IF(AND(N15&gt;$Z$4,N14&lt;$Z$4),$Z$4,N14))</f>
        <v>7.2000000000000011</v>
      </c>
      <c r="AC15" s="18">
        <f t="shared" si="15"/>
        <v>10.603636363636364</v>
      </c>
      <c r="AD15" s="16">
        <f t="shared" si="16"/>
        <v>3.2285714285714286</v>
      </c>
      <c r="AE15" s="16">
        <f t="shared" si="17"/>
        <v>-3.0240000000000005</v>
      </c>
      <c r="AF15" s="18">
        <f t="shared" si="18"/>
        <v>2.8528831168831168</v>
      </c>
      <c r="AG15" s="16">
        <f t="shared" si="29"/>
        <v>0.5499999999999996</v>
      </c>
      <c r="AH15" s="18">
        <f t="shared" si="30"/>
        <v>0.47542857142857103</v>
      </c>
      <c r="AI15" s="13">
        <f t="shared" si="31"/>
        <v>-0.44999999999999996</v>
      </c>
      <c r="AJ15" s="18">
        <f t="shared" si="19"/>
        <v>-0.52457142857142847</v>
      </c>
      <c r="AK15" s="14"/>
      <c r="AM15" s="41">
        <f t="shared" si="1"/>
        <v>5.8725000000000006E-2</v>
      </c>
      <c r="AN15" s="41">
        <f t="shared" si="2"/>
        <v>5.8725000000000006E-2</v>
      </c>
      <c r="AO15" s="40">
        <f t="shared" si="32"/>
        <v>0.44999999999999996</v>
      </c>
      <c r="AP15" s="35">
        <f t="shared" si="3"/>
        <v>0.37542857142857144</v>
      </c>
      <c r="AQ15" s="45">
        <f t="shared" si="33"/>
        <v>0.58329642857142849</v>
      </c>
      <c r="AR15" s="47">
        <f t="shared" si="20"/>
        <v>0.50872499999999998</v>
      </c>
      <c r="AS15" s="14"/>
      <c r="AT15" s="14"/>
      <c r="AU15" s="14">
        <f t="shared" si="21"/>
        <v>-0.16354166666666653</v>
      </c>
      <c r="AV15" s="14">
        <f t="shared" si="22"/>
        <v>-2.8035714285714265E-2</v>
      </c>
      <c r="AW15" s="14"/>
      <c r="AX15" s="18">
        <f t="shared" si="23"/>
        <v>7.2000000000000011</v>
      </c>
      <c r="AY15" s="14">
        <f t="shared" si="5"/>
        <v>-3.2301243729815153E-2</v>
      </c>
      <c r="AZ15" s="22">
        <f t="shared" si="24"/>
        <v>8.1000000000000014</v>
      </c>
      <c r="BA15" s="14">
        <f t="shared" si="25"/>
        <v>-0.32332302618016912</v>
      </c>
      <c r="BB15" s="14">
        <f t="shared" si="34"/>
        <v>6.3000000000000007</v>
      </c>
      <c r="BC15" s="14">
        <f>IF(AND(BB15&lt;=$Z$4,BB16&lt;=$Z$4),($C$5-$Z$4)/$C$5+$Z$4/$C$5*(-($C$5^2-3*BB15^2)/2/$C$5^2)+3*$Z$4/$C$5^2*(0.5-3*BB15^2/2/$C$5^2)*$P$3,($C$5-$Z$4)/$C$5-1+$Z$4/$C$5*(-($C$5^2-3*BB15^2)/2/$C$5^2)+3*$Z$4/$C$5^2*(0.5-3*BB15^2/2/$C$5^2)*$P$3)</f>
        <v>-0.33823129251700695</v>
      </c>
    </row>
    <row r="16" spans="1:55" x14ac:dyDescent="0.25">
      <c r="M16" s="13">
        <v>10</v>
      </c>
      <c r="N16" s="16">
        <f t="shared" si="7"/>
        <v>9.0000000000000018</v>
      </c>
      <c r="O16" s="16">
        <f t="shared" si="26"/>
        <v>9.0000000000000018</v>
      </c>
      <c r="P16" s="18">
        <f t="shared" si="8"/>
        <v>11.834415584415584</v>
      </c>
      <c r="Q16" s="18">
        <f t="shared" si="9"/>
        <v>-2.6298701298701297</v>
      </c>
      <c r="R16" s="18">
        <f t="shared" si="10"/>
        <v>-3.375</v>
      </c>
      <c r="S16" s="18">
        <f t="shared" si="11"/>
        <v>-1.4025974025974026</v>
      </c>
      <c r="T16" s="14"/>
      <c r="U16" s="14"/>
      <c r="V16" s="14"/>
      <c r="W16" s="16">
        <f t="shared" si="12"/>
        <v>-0.4821428571428571</v>
      </c>
      <c r="X16" s="16">
        <f>0.25*C5</f>
        <v>4.5</v>
      </c>
      <c r="Y16" s="16">
        <f t="shared" si="28"/>
        <v>3.7987012987012987</v>
      </c>
      <c r="Z16" s="16">
        <f t="shared" si="13"/>
        <v>2.6904761904761898</v>
      </c>
      <c r="AA16" s="18">
        <f t="shared" si="14"/>
        <v>2.2711811997526277</v>
      </c>
      <c r="AB16" s="18">
        <f t="shared" si="35"/>
        <v>8.1000000000000014</v>
      </c>
      <c r="AC16" s="18">
        <f t="shared" si="15"/>
        <v>11.325535714285717</v>
      </c>
      <c r="AD16" s="16">
        <f t="shared" si="16"/>
        <v>2.9595238095238097</v>
      </c>
      <c r="AE16" s="16">
        <f t="shared" si="17"/>
        <v>-3.2298749999999998</v>
      </c>
      <c r="AF16" s="18">
        <f t="shared" si="18"/>
        <v>2.558258503401361</v>
      </c>
      <c r="AG16" s="16">
        <f t="shared" si="29"/>
        <v>0.49999999999999961</v>
      </c>
      <c r="AH16" s="18">
        <f t="shared" si="30"/>
        <v>0.42207792207792172</v>
      </c>
      <c r="AI16" s="13">
        <f t="shared" si="31"/>
        <v>-0.49999999999999994</v>
      </c>
      <c r="AJ16" s="18">
        <f t="shared" si="19"/>
        <v>-0.57792207792207784</v>
      </c>
      <c r="AK16" s="14"/>
      <c r="AM16" s="41">
        <f t="shared" si="1"/>
        <v>6.136363636363637E-2</v>
      </c>
      <c r="AN16" s="41">
        <f t="shared" si="2"/>
        <v>6.136363636363637E-2</v>
      </c>
      <c r="AO16" s="40">
        <f t="shared" si="32"/>
        <v>0.49999999999999994</v>
      </c>
      <c r="AP16" s="35">
        <f t="shared" si="3"/>
        <v>0.42207792207792205</v>
      </c>
      <c r="AQ16" s="45">
        <f t="shared" si="33"/>
        <v>0.63928571428571423</v>
      </c>
      <c r="AR16" s="47">
        <f t="shared" si="20"/>
        <v>0.56136363636363629</v>
      </c>
      <c r="AS16" s="14"/>
      <c r="AT16" s="14"/>
      <c r="AU16" s="14">
        <f t="shared" si="21"/>
        <v>-0.10416666666666642</v>
      </c>
      <c r="AV16" s="14">
        <f t="shared" si="22"/>
        <v>-1.7857142857142842E-2</v>
      </c>
      <c r="AW16" s="14"/>
      <c r="AX16" s="18">
        <f t="shared" si="23"/>
        <v>8.1000000000000014</v>
      </c>
      <c r="AY16" s="14">
        <f t="shared" si="5"/>
        <v>-2.4381227238370072E-2</v>
      </c>
      <c r="AZ16" s="22">
        <f t="shared" si="24"/>
        <v>9.0000000000000018</v>
      </c>
      <c r="BA16" s="14">
        <f t="shared" si="25"/>
        <v>-0.31447124304267171</v>
      </c>
      <c r="BB16" s="14">
        <f t="shared" si="34"/>
        <v>7.2000000000000011</v>
      </c>
      <c r="BC16" s="14">
        <f>IF(AND(BB16&lt;=$Z$4,BB17&gt;=$Z$4),($C$5-$Z$4)/$C$5+$Z$4/$C$5*(-($C$5^2-3*BB16^2)/2/$C$5^2)+3*$Z$4/$C$5^2*(0.5-3*BB16^2/2/$C$5^2)*$P$3,($C$5-$Z$4)/$C$5-1+$Z$4/$C$5*(-($C$5^2-3*BB16^2)/2/$C$5^2)+3*$Z$4/$C$5^2*(0.5-3*BB16^2/2/$C$5^2)*$P$3)</f>
        <v>-0.33124304267161425</v>
      </c>
    </row>
    <row r="17" spans="13:55" x14ac:dyDescent="0.25">
      <c r="M17" s="13">
        <v>11</v>
      </c>
      <c r="N17" s="16">
        <f t="shared" si="7"/>
        <v>9.9000000000000021</v>
      </c>
      <c r="O17" s="16">
        <f t="shared" si="26"/>
        <v>9.9000000000000021</v>
      </c>
      <c r="P17" s="18">
        <f t="shared" si="8"/>
        <v>12.106607142857143</v>
      </c>
      <c r="Q17" s="18">
        <f t="shared" si="9"/>
        <v>-2.6903571428571427</v>
      </c>
      <c r="R17" s="18">
        <f t="shared" si="10"/>
        <v>-3.4526249999999998</v>
      </c>
      <c r="S17" s="18">
        <f t="shared" si="11"/>
        <v>-1.4348571428571426</v>
      </c>
      <c r="T17" s="14"/>
      <c r="U17" s="14"/>
      <c r="V17" s="14"/>
      <c r="W17" s="16">
        <f t="shared" si="12"/>
        <v>-0.4932321428571429</v>
      </c>
      <c r="X17" s="16">
        <f>X15</f>
        <v>4.05</v>
      </c>
      <c r="Y17" s="16">
        <f t="shared" si="28"/>
        <v>3.3325714285714287</v>
      </c>
      <c r="Z17" s="16">
        <f t="shared" si="13"/>
        <v>2.4214285714285708</v>
      </c>
      <c r="AA17" s="18">
        <f t="shared" si="14"/>
        <v>1.9924897959183665</v>
      </c>
      <c r="AB17" s="18">
        <f t="shared" si="35"/>
        <v>9.0000000000000018</v>
      </c>
      <c r="AC17" s="18">
        <f t="shared" si="15"/>
        <v>11.834415584415584</v>
      </c>
      <c r="AD17" s="16">
        <f t="shared" si="16"/>
        <v>2.6904761904761898</v>
      </c>
      <c r="AE17" s="16">
        <f t="shared" si="17"/>
        <v>-3.375</v>
      </c>
      <c r="AF17" s="18">
        <f t="shared" si="18"/>
        <v>2.2711811997526277</v>
      </c>
      <c r="AG17" s="16">
        <f t="shared" si="29"/>
        <v>0.44999999999999962</v>
      </c>
      <c r="AH17" s="18">
        <f t="shared" si="30"/>
        <v>0.37028571428571389</v>
      </c>
      <c r="AI17" s="13">
        <f t="shared" si="31"/>
        <v>-0.54999999999999993</v>
      </c>
      <c r="AJ17" s="18">
        <f t="shared" si="19"/>
        <v>-0.62971428571428567</v>
      </c>
      <c r="AK17" s="14"/>
      <c r="AM17" s="41">
        <f t="shared" si="1"/>
        <v>6.2775000000000011E-2</v>
      </c>
      <c r="AN17" s="41">
        <f t="shared" si="2"/>
        <v>6.2775000000000011E-2</v>
      </c>
      <c r="AO17" s="40">
        <f t="shared" si="32"/>
        <v>0.54999999999999993</v>
      </c>
      <c r="AP17" s="35">
        <f t="shared" si="3"/>
        <v>0.47028571428571425</v>
      </c>
      <c r="AQ17" s="45">
        <f t="shared" si="33"/>
        <v>0.6924892857142857</v>
      </c>
      <c r="AR17" s="47">
        <f t="shared" si="20"/>
        <v>0.61277499999999996</v>
      </c>
      <c r="AS17" s="14"/>
      <c r="AT17" s="14"/>
      <c r="AU17" s="14">
        <f t="shared" si="21"/>
        <v>-3.8541666666666481E-2</v>
      </c>
      <c r="AV17" s="14">
        <f t="shared" si="22"/>
        <v>-6.6071428571428271E-3</v>
      </c>
      <c r="AW17" s="14"/>
      <c r="AX17" s="18">
        <f t="shared" si="23"/>
        <v>9.0000000000000018</v>
      </c>
      <c r="AY17" s="14">
        <f t="shared" si="5"/>
        <v>-1.5529444100872657E-2</v>
      </c>
      <c r="AZ17" s="22">
        <f t="shared" si="24"/>
        <v>9.9000000000000021</v>
      </c>
      <c r="BA17" s="14">
        <f t="shared" si="25"/>
        <v>-0.30468769325912193</v>
      </c>
      <c r="BB17" s="14">
        <f t="shared" si="34"/>
        <v>8.1000000000000014</v>
      </c>
      <c r="BC17" s="14">
        <f t="shared" ref="BC17:BC28" si="36">IF(BB17&lt;$Z$4,($C$5-$Z$4)/$C$5+$Z$4/$C$5*(-($C$5^2-3*BB17^2)/2/$C$5^2)+3*$Z$4/$C$5^2*(0.5-3*BB17^2/2/$C$5^2)*$P$3,($C$5-$Z$4)/$C$5-1+$Z$4/$C$5*(-($C$5^2-3*BB17^2)/2/$C$5^2)+3*$Z$4/$C$5^2*(0.5-3*BB17^2/2/$C$5^2)*$P$3)</f>
        <v>-0.32332302618016912</v>
      </c>
    </row>
    <row r="18" spans="13:55" x14ac:dyDescent="0.25">
      <c r="M18" s="13">
        <v>12</v>
      </c>
      <c r="N18" s="16">
        <f t="shared" si="7"/>
        <v>10.800000000000002</v>
      </c>
      <c r="O18" s="16">
        <f t="shared" si="26"/>
        <v>10.800000000000002</v>
      </c>
      <c r="P18" s="18">
        <f t="shared" si="8"/>
        <v>12.118441558441559</v>
      </c>
      <c r="Q18" s="18">
        <f t="shared" si="9"/>
        <v>-2.6929870129870128</v>
      </c>
      <c r="R18" s="18">
        <f t="shared" si="10"/>
        <v>-3.4560000000000004</v>
      </c>
      <c r="S18" s="18">
        <f t="shared" si="11"/>
        <v>-1.4362597402597408</v>
      </c>
      <c r="T18" s="14"/>
      <c r="U18" s="14"/>
      <c r="V18" s="14"/>
      <c r="W18" s="16">
        <f t="shared" si="12"/>
        <v>-0.49371428571428577</v>
      </c>
      <c r="X18" s="16">
        <f>X14</f>
        <v>3.6</v>
      </c>
      <c r="Y18" s="16">
        <f t="shared" si="28"/>
        <v>2.8818701298701299</v>
      </c>
      <c r="Z18" s="16">
        <f t="shared" si="13"/>
        <v>2.1523809523809518</v>
      </c>
      <c r="AA18" s="18">
        <f t="shared" si="14"/>
        <v>1.7230228818800237</v>
      </c>
      <c r="AB18" s="18">
        <f t="shared" si="35"/>
        <v>9.9000000000000021</v>
      </c>
      <c r="AC18" s="18">
        <f t="shared" si="15"/>
        <v>12.106607142857143</v>
      </c>
      <c r="AD18" s="16">
        <f t="shared" si="16"/>
        <v>2.4214285714285708</v>
      </c>
      <c r="AE18" s="16">
        <f t="shared" si="17"/>
        <v>-3.4526249999999998</v>
      </c>
      <c r="AF18" s="18">
        <f t="shared" si="18"/>
        <v>1.9924897959183665</v>
      </c>
      <c r="AG18" s="16">
        <f t="shared" si="29"/>
        <v>0.39999999999999963</v>
      </c>
      <c r="AH18" s="18">
        <f t="shared" si="30"/>
        <v>0.32020779220779183</v>
      </c>
      <c r="AI18" s="13">
        <f t="shared" si="31"/>
        <v>-0.6</v>
      </c>
      <c r="AJ18" s="18">
        <f t="shared" si="19"/>
        <v>-0.67979220779220784</v>
      </c>
      <c r="AK18" s="14"/>
      <c r="AM18" s="41">
        <f t="shared" si="1"/>
        <v>6.2836363636363635E-2</v>
      </c>
      <c r="AN18" s="41">
        <f t="shared" si="2"/>
        <v>6.2836363636363635E-2</v>
      </c>
      <c r="AO18" s="40">
        <f t="shared" si="32"/>
        <v>0.6</v>
      </c>
      <c r="AP18" s="35">
        <f t="shared" si="3"/>
        <v>0.52020779220779212</v>
      </c>
      <c r="AQ18" s="45">
        <f t="shared" si="33"/>
        <v>0.74262857142857142</v>
      </c>
      <c r="AR18" s="47">
        <f t="shared" si="20"/>
        <v>0.66283636363636356</v>
      </c>
      <c r="AS18" s="14"/>
      <c r="AT18" s="14"/>
      <c r="AU18" s="14">
        <f t="shared" si="21"/>
        <v>3.3333333333333576E-2</v>
      </c>
      <c r="AV18" s="14">
        <f t="shared" si="22"/>
        <v>5.7142857142857516E-3</v>
      </c>
      <c r="AW18" s="14"/>
      <c r="AX18" s="18">
        <f t="shared" si="23"/>
        <v>9.9000000000000021</v>
      </c>
      <c r="AY18" s="14">
        <f t="shared" si="5"/>
        <v>-5.7458943173228604E-3</v>
      </c>
      <c r="AZ18" s="22">
        <f t="shared" si="24"/>
        <v>10.800000000000002</v>
      </c>
      <c r="BA18" s="14">
        <f t="shared" si="25"/>
        <v>-0.29397237682951977</v>
      </c>
      <c r="BB18" s="14">
        <f t="shared" si="34"/>
        <v>9.0000000000000018</v>
      </c>
      <c r="BC18" s="14">
        <f t="shared" si="36"/>
        <v>-0.31447124304267171</v>
      </c>
    </row>
    <row r="19" spans="13:55" x14ac:dyDescent="0.25">
      <c r="M19" s="13">
        <v>13</v>
      </c>
      <c r="N19" s="16">
        <f t="shared" si="7"/>
        <v>11.700000000000003</v>
      </c>
      <c r="O19" s="16">
        <f t="shared" si="26"/>
        <v>11.700000000000003</v>
      </c>
      <c r="P19" s="18">
        <f t="shared" si="8"/>
        <v>11.84625</v>
      </c>
      <c r="Q19" s="18">
        <f t="shared" si="9"/>
        <v>-2.6324999999999994</v>
      </c>
      <c r="R19" s="18">
        <f t="shared" si="10"/>
        <v>-3.3783749999999992</v>
      </c>
      <c r="S19" s="18">
        <f t="shared" si="11"/>
        <v>-1.4039999999999995</v>
      </c>
      <c r="T19" s="14"/>
      <c r="U19" s="14"/>
      <c r="V19" s="14"/>
      <c r="W19" s="16">
        <f t="shared" si="12"/>
        <v>-0.48262499999999997</v>
      </c>
      <c r="X19" s="16">
        <f>X13</f>
        <v>3.15</v>
      </c>
      <c r="Y19" s="16">
        <f t="shared" si="28"/>
        <v>2.4480000000000004</v>
      </c>
      <c r="Z19" s="16">
        <f t="shared" si="13"/>
        <v>1.883333333333332</v>
      </c>
      <c r="AA19" s="18">
        <f t="shared" si="14"/>
        <v>1.4636190476190465</v>
      </c>
      <c r="AB19" s="18">
        <f t="shared" si="35"/>
        <v>10.800000000000002</v>
      </c>
      <c r="AC19" s="18">
        <f t="shared" si="15"/>
        <v>12.118441558441559</v>
      </c>
      <c r="AD19" s="16">
        <f t="shared" si="16"/>
        <v>2.1523809523809518</v>
      </c>
      <c r="AE19" s="16">
        <f t="shared" si="17"/>
        <v>-3.4560000000000004</v>
      </c>
      <c r="AF19" s="18">
        <f t="shared" si="18"/>
        <v>1.7230228818800237</v>
      </c>
      <c r="AG19" s="16">
        <f t="shared" si="29"/>
        <v>0.34999999999999964</v>
      </c>
      <c r="AH19" s="18">
        <f t="shared" si="30"/>
        <v>0.27199999999999969</v>
      </c>
      <c r="AI19" s="13">
        <f t="shared" si="31"/>
        <v>-0.65</v>
      </c>
      <c r="AJ19" s="18">
        <f t="shared" si="19"/>
        <v>-0.72799999999999998</v>
      </c>
      <c r="AK19" s="14"/>
      <c r="AM19" s="41">
        <f t="shared" si="1"/>
        <v>6.1425E-2</v>
      </c>
      <c r="AN19" s="41">
        <f t="shared" si="2"/>
        <v>6.1425E-2</v>
      </c>
      <c r="AO19" s="40">
        <f t="shared" si="32"/>
        <v>0.65</v>
      </c>
      <c r="AP19" s="35">
        <f t="shared" si="3"/>
        <v>0.57200000000000006</v>
      </c>
      <c r="AQ19" s="45">
        <f t="shared" si="33"/>
        <v>0.78942499999999993</v>
      </c>
      <c r="AR19" s="47">
        <f t="shared" si="20"/>
        <v>0.71142500000000009</v>
      </c>
      <c r="AS19" s="14"/>
      <c r="AT19" s="14"/>
      <c r="AU19" s="14">
        <f t="shared" si="21"/>
        <v>0.11145833333333366</v>
      </c>
      <c r="AV19" s="14">
        <f t="shared" si="22"/>
        <v>1.9107142857142892E-2</v>
      </c>
      <c r="AW19" s="14"/>
      <c r="AX19" s="18">
        <f t="shared" si="23"/>
        <v>10.800000000000002</v>
      </c>
      <c r="AY19" s="14">
        <f t="shared" si="5"/>
        <v>4.9694221122792964E-3</v>
      </c>
      <c r="AZ19" s="22">
        <f t="shared" si="24"/>
        <v>11.700000000000003</v>
      </c>
      <c r="BA19" s="14">
        <f t="shared" si="25"/>
        <v>-0.28232529375386523</v>
      </c>
      <c r="BB19" s="14">
        <f t="shared" si="34"/>
        <v>9.9000000000000021</v>
      </c>
      <c r="BC19" s="14">
        <f t="shared" si="36"/>
        <v>-0.30468769325912193</v>
      </c>
    </row>
    <row r="20" spans="13:55" x14ac:dyDescent="0.25">
      <c r="M20" s="13">
        <v>14</v>
      </c>
      <c r="N20" s="16">
        <f t="shared" si="7"/>
        <v>12.600000000000003</v>
      </c>
      <c r="O20" s="16">
        <f t="shared" si="26"/>
        <v>12.600000000000003</v>
      </c>
      <c r="P20" s="18">
        <f t="shared" si="8"/>
        <v>11.266363636363634</v>
      </c>
      <c r="Q20" s="18">
        <f t="shared" si="9"/>
        <v>-2.5036363636363625</v>
      </c>
      <c r="R20" s="18">
        <f t="shared" si="10"/>
        <v>-3.2129999999999992</v>
      </c>
      <c r="S20" s="18">
        <f t="shared" si="11"/>
        <v>-1.3352727272727269</v>
      </c>
      <c r="T20" s="14"/>
      <c r="U20" s="14"/>
      <c r="V20" s="14"/>
      <c r="W20" s="16">
        <f t="shared" si="12"/>
        <v>-0.45899999999999985</v>
      </c>
      <c r="X20" s="16">
        <f>X12</f>
        <v>2.7</v>
      </c>
      <c r="Y20" s="16">
        <f t="shared" si="28"/>
        <v>2.0323636363636366</v>
      </c>
      <c r="Z20" s="16">
        <f t="shared" si="13"/>
        <v>1.614285714285713</v>
      </c>
      <c r="AA20" s="18">
        <f t="shared" si="14"/>
        <v>1.2151168831168815</v>
      </c>
      <c r="AB20" s="18">
        <f t="shared" si="35"/>
        <v>11.700000000000003</v>
      </c>
      <c r="AC20" s="18">
        <f t="shared" si="15"/>
        <v>11.84625</v>
      </c>
      <c r="AD20" s="16">
        <f t="shared" si="16"/>
        <v>1.883333333333332</v>
      </c>
      <c r="AE20" s="16">
        <f t="shared" si="17"/>
        <v>-3.3783749999999992</v>
      </c>
      <c r="AF20" s="18">
        <f t="shared" si="18"/>
        <v>1.4636190476190465</v>
      </c>
      <c r="AG20" s="16">
        <f t="shared" si="29"/>
        <v>0.29999999999999966</v>
      </c>
      <c r="AH20" s="18">
        <f t="shared" si="30"/>
        <v>0.22581818181818147</v>
      </c>
      <c r="AI20" s="13">
        <f t="shared" si="31"/>
        <v>-0.70000000000000007</v>
      </c>
      <c r="AJ20" s="18">
        <f t="shared" si="19"/>
        <v>-0.77418181818181819</v>
      </c>
      <c r="AK20" s="14"/>
      <c r="AM20" s="41">
        <f t="shared" si="1"/>
        <v>5.8418181818181807E-2</v>
      </c>
      <c r="AN20" s="41">
        <f t="shared" si="2"/>
        <v>5.8418181818181807E-2</v>
      </c>
      <c r="AO20" s="40">
        <f t="shared" si="32"/>
        <v>0.70000000000000007</v>
      </c>
      <c r="AP20" s="35">
        <f t="shared" si="3"/>
        <v>0.62581818181818194</v>
      </c>
      <c r="AQ20" s="45">
        <f t="shared" si="33"/>
        <v>0.83260000000000001</v>
      </c>
      <c r="AR20" s="47">
        <f t="shared" si="20"/>
        <v>0.75841818181818177</v>
      </c>
      <c r="AS20" s="14"/>
      <c r="AT20" s="14"/>
      <c r="AU20" s="14">
        <f t="shared" si="21"/>
        <v>0.19583333333333358</v>
      </c>
      <c r="AV20" s="14">
        <f t="shared" si="22"/>
        <v>3.3571428571428613E-2</v>
      </c>
      <c r="AW20" s="14"/>
      <c r="AX20" s="18">
        <f t="shared" si="23"/>
        <v>11.700000000000003</v>
      </c>
      <c r="AY20" s="14">
        <f t="shared" si="5"/>
        <v>1.6616505187933804E-2</v>
      </c>
      <c r="AZ20" s="22">
        <f t="shared" si="24"/>
        <v>12.600000000000003</v>
      </c>
      <c r="BA20" s="14">
        <f t="shared" si="25"/>
        <v>-0.26974644403215842</v>
      </c>
      <c r="BB20" s="14">
        <f t="shared" si="34"/>
        <v>10.800000000000002</v>
      </c>
      <c r="BC20" s="14">
        <f t="shared" si="36"/>
        <v>-0.29397237682951977</v>
      </c>
    </row>
    <row r="21" spans="13:55" x14ac:dyDescent="0.25">
      <c r="M21" s="13">
        <v>15</v>
      </c>
      <c r="N21" s="16">
        <f t="shared" si="7"/>
        <v>13.500000000000004</v>
      </c>
      <c r="O21" s="16">
        <f t="shared" si="26"/>
        <v>13.500000000000004</v>
      </c>
      <c r="P21" s="18">
        <f t="shared" si="8"/>
        <v>10.355113636363631</v>
      </c>
      <c r="Q21" s="18">
        <f t="shared" si="9"/>
        <v>-2.3011363636363624</v>
      </c>
      <c r="R21" s="18">
        <f t="shared" si="10"/>
        <v>-2.9531249999999991</v>
      </c>
      <c r="S21" s="18">
        <f t="shared" si="11"/>
        <v>-1.2272727272727273</v>
      </c>
      <c r="T21" s="14"/>
      <c r="U21" s="14"/>
      <c r="V21" s="14"/>
      <c r="W21" s="16">
        <f t="shared" si="12"/>
        <v>-0.42187499999999978</v>
      </c>
      <c r="X21" s="16">
        <f>X11</f>
        <v>2.25</v>
      </c>
      <c r="Y21" s="16">
        <f t="shared" si="28"/>
        <v>1.6363636363636362</v>
      </c>
      <c r="Z21" s="16">
        <f t="shared" si="13"/>
        <v>1.3452380952380949</v>
      </c>
      <c r="AA21" s="18">
        <f t="shared" si="14"/>
        <v>0.97835497835497798</v>
      </c>
      <c r="AB21" s="18">
        <f t="shared" si="35"/>
        <v>12.600000000000003</v>
      </c>
      <c r="AC21" s="18">
        <f t="shared" si="15"/>
        <v>11.266363636363634</v>
      </c>
      <c r="AD21" s="16">
        <f t="shared" si="16"/>
        <v>1.614285714285713</v>
      </c>
      <c r="AE21" s="16">
        <f t="shared" si="17"/>
        <v>-3.2129999999999992</v>
      </c>
      <c r="AF21" s="18">
        <f t="shared" si="18"/>
        <v>1.2151168831168815</v>
      </c>
      <c r="AG21" s="16">
        <f t="shared" si="29"/>
        <v>0.24999999999999967</v>
      </c>
      <c r="AH21" s="18">
        <f t="shared" si="30"/>
        <v>0.18181818181818149</v>
      </c>
      <c r="AI21" s="13">
        <f t="shared" si="31"/>
        <v>-0.75000000000000011</v>
      </c>
      <c r="AJ21" s="18">
        <f t="shared" si="19"/>
        <v>-0.81818181818181834</v>
      </c>
      <c r="AK21" s="14"/>
      <c r="AM21" s="41">
        <f t="shared" si="1"/>
        <v>5.3693181818181786E-2</v>
      </c>
      <c r="AN21" s="41">
        <f t="shared" si="2"/>
        <v>5.3693181818181786E-2</v>
      </c>
      <c r="AO21" s="40">
        <f t="shared" si="32"/>
        <v>0.75000000000000011</v>
      </c>
      <c r="AP21" s="35">
        <f t="shared" si="3"/>
        <v>0.68181818181818188</v>
      </c>
      <c r="AQ21" s="45">
        <f t="shared" si="33"/>
        <v>0.87187500000000018</v>
      </c>
      <c r="AR21" s="47">
        <f t="shared" si="20"/>
        <v>0.80369318181818195</v>
      </c>
      <c r="AS21" s="14"/>
      <c r="AT21" s="14"/>
      <c r="AU21" s="14">
        <f t="shared" si="21"/>
        <v>0.28645833333333359</v>
      </c>
      <c r="AV21" s="14">
        <f t="shared" si="22"/>
        <v>4.9107142857142905E-2</v>
      </c>
      <c r="AW21" s="14"/>
      <c r="AX21" s="18">
        <f t="shared" si="23"/>
        <v>12.600000000000003</v>
      </c>
      <c r="AY21" s="14">
        <f t="shared" si="5"/>
        <v>2.9195354909640661E-2</v>
      </c>
      <c r="AZ21" s="22">
        <f t="shared" si="24"/>
        <v>13.500000000000004</v>
      </c>
      <c r="BA21" s="14">
        <f t="shared" si="25"/>
        <v>-0.25623582766439917</v>
      </c>
      <c r="BB21" s="14">
        <f t="shared" si="34"/>
        <v>11.700000000000003</v>
      </c>
      <c r="BC21" s="14">
        <f t="shared" si="36"/>
        <v>-0.28232529375386523</v>
      </c>
    </row>
    <row r="22" spans="13:55" x14ac:dyDescent="0.25">
      <c r="M22" s="13">
        <v>16</v>
      </c>
      <c r="N22" s="16">
        <f t="shared" si="7"/>
        <v>14.400000000000004</v>
      </c>
      <c r="O22" s="16">
        <f t="shared" si="26"/>
        <v>14.400000000000004</v>
      </c>
      <c r="P22" s="18">
        <f t="shared" si="8"/>
        <v>9.0888311688311614</v>
      </c>
      <c r="Q22" s="18">
        <f t="shared" si="9"/>
        <v>-2.0197402597402578</v>
      </c>
      <c r="R22" s="18">
        <f t="shared" si="10"/>
        <v>-2.5919999999999987</v>
      </c>
      <c r="S22" s="18">
        <f t="shared" si="11"/>
        <v>-1.0771948051948053</v>
      </c>
      <c r="T22" s="14"/>
      <c r="U22" s="14"/>
      <c r="V22" s="14"/>
      <c r="W22" s="16">
        <f t="shared" si="12"/>
        <v>-0.370285714285714</v>
      </c>
      <c r="X22" s="16">
        <f>X10</f>
        <v>1.8</v>
      </c>
      <c r="Y22" s="16">
        <f t="shared" si="28"/>
        <v>1.2614025974025975</v>
      </c>
      <c r="Z22" s="16">
        <f t="shared" si="13"/>
        <v>1.0761904761904741</v>
      </c>
      <c r="AA22" s="18">
        <f t="shared" si="14"/>
        <v>0.75417192331477834</v>
      </c>
      <c r="AB22" s="18">
        <f t="shared" si="35"/>
        <v>13.500000000000004</v>
      </c>
      <c r="AC22" s="18">
        <f t="shared" si="15"/>
        <v>10.355113636363631</v>
      </c>
      <c r="AD22" s="16">
        <f t="shared" si="16"/>
        <v>1.3452380952380949</v>
      </c>
      <c r="AE22" s="16">
        <f t="shared" si="17"/>
        <v>-2.9531249999999991</v>
      </c>
      <c r="AF22" s="18">
        <f t="shared" si="18"/>
        <v>0.97835497835497798</v>
      </c>
      <c r="AG22" s="16">
        <f t="shared" si="29"/>
        <v>0.19999999999999968</v>
      </c>
      <c r="AH22" s="18">
        <f t="shared" si="30"/>
        <v>0.14015584415584381</v>
      </c>
      <c r="AI22" s="13">
        <f t="shared" si="31"/>
        <v>-0.80000000000000016</v>
      </c>
      <c r="AJ22" s="18">
        <f t="shared" si="19"/>
        <v>-0.85984415584415597</v>
      </c>
      <c r="AK22" s="14"/>
      <c r="AM22" s="41">
        <f t="shared" si="1"/>
        <v>4.7127272727272684E-2</v>
      </c>
      <c r="AN22" s="41">
        <f t="shared" si="2"/>
        <v>4.7127272727272684E-2</v>
      </c>
      <c r="AO22" s="40">
        <f t="shared" si="32"/>
        <v>0.80000000000000016</v>
      </c>
      <c r="AP22" s="35">
        <f t="shared" si="3"/>
        <v>0.74015584415584434</v>
      </c>
      <c r="AQ22" s="45">
        <f t="shared" si="33"/>
        <v>0.90697142857142865</v>
      </c>
      <c r="AR22" s="47">
        <f t="shared" si="20"/>
        <v>0.84712727272727284</v>
      </c>
      <c r="AS22" s="14"/>
      <c r="AT22" s="14"/>
      <c r="AU22" s="14">
        <f t="shared" si="21"/>
        <v>0.38333333333333369</v>
      </c>
      <c r="AV22" s="14">
        <f t="shared" si="22"/>
        <v>6.5714285714285781E-2</v>
      </c>
      <c r="AW22" s="14"/>
      <c r="AX22" s="18">
        <f t="shared" si="23"/>
        <v>13.500000000000004</v>
      </c>
      <c r="AY22" s="14">
        <f t="shared" si="5"/>
        <v>4.2705971277399897E-2</v>
      </c>
      <c r="AZ22" s="22">
        <f t="shared" si="24"/>
        <v>14.400000000000004</v>
      </c>
      <c r="BA22" s="14">
        <f t="shared" si="25"/>
        <v>-0.24179344465058755</v>
      </c>
      <c r="BB22" s="14">
        <f t="shared" si="34"/>
        <v>12.600000000000003</v>
      </c>
      <c r="BC22" s="14">
        <f t="shared" si="36"/>
        <v>-0.26974644403215842</v>
      </c>
    </row>
    <row r="23" spans="13:55" x14ac:dyDescent="0.25">
      <c r="M23" s="13">
        <v>17</v>
      </c>
      <c r="N23" s="16">
        <f t="shared" si="7"/>
        <v>15.300000000000004</v>
      </c>
      <c r="O23" s="16">
        <f t="shared" si="26"/>
        <v>15.300000000000004</v>
      </c>
      <c r="P23" s="18">
        <f t="shared" si="8"/>
        <v>7.4438474025973953</v>
      </c>
      <c r="Q23" s="18">
        <f t="shared" si="9"/>
        <v>-1.6541883116883098</v>
      </c>
      <c r="R23" s="18">
        <f t="shared" si="10"/>
        <v>-2.1228749999999974</v>
      </c>
      <c r="S23" s="18">
        <f t="shared" si="11"/>
        <v>-0.88223376623376493</v>
      </c>
      <c r="T23" s="14"/>
      <c r="U23" s="14"/>
      <c r="V23" s="14"/>
      <c r="W23" s="16">
        <f t="shared" si="12"/>
        <v>-0.30326785714285681</v>
      </c>
      <c r="X23" s="16">
        <f>X9</f>
        <v>1.35</v>
      </c>
      <c r="Y23" s="16">
        <f t="shared" si="28"/>
        <v>0.90888311688311763</v>
      </c>
      <c r="Z23" s="16">
        <f>IF(O23&lt;=$Z$4,($C$5-$Z$4)/($C$5)*O23,($C$5-$Z$4)/($C$5)*O23-(O23-$Z$4))</f>
        <v>0.80714285714285694</v>
      </c>
      <c r="AA23" s="18">
        <f t="shared" si="14"/>
        <v>0.54340630797773681</v>
      </c>
      <c r="AB23" s="18">
        <f t="shared" si="35"/>
        <v>14.400000000000004</v>
      </c>
      <c r="AC23" s="18">
        <f t="shared" si="15"/>
        <v>9.0888311688311614</v>
      </c>
      <c r="AD23" s="16">
        <f t="shared" si="16"/>
        <v>1.0761904761904741</v>
      </c>
      <c r="AE23" s="16">
        <f t="shared" si="17"/>
        <v>-2.5919999999999987</v>
      </c>
      <c r="AF23" s="18">
        <f t="shared" si="18"/>
        <v>0.75417192331477834</v>
      </c>
      <c r="AG23" s="16">
        <f t="shared" si="29"/>
        <v>0.14999999999999969</v>
      </c>
      <c r="AH23" s="18">
        <f t="shared" si="30"/>
        <v>0.10098701298701274</v>
      </c>
      <c r="AI23" s="13">
        <f t="shared" si="31"/>
        <v>-0.8500000000000002</v>
      </c>
      <c r="AJ23" s="18">
        <f t="shared" si="19"/>
        <v>-0.89901298701298715</v>
      </c>
      <c r="AK23" s="16">
        <f>N26</f>
        <v>18</v>
      </c>
      <c r="AM23" s="41">
        <f t="shared" si="1"/>
        <v>3.8597727272727242E-2</v>
      </c>
      <c r="AN23" s="41">
        <f t="shared" si="2"/>
        <v>3.8597727272727242E-2</v>
      </c>
      <c r="AO23" s="40">
        <f t="shared" si="32"/>
        <v>0.8500000000000002</v>
      </c>
      <c r="AP23" s="35">
        <f t="shared" si="3"/>
        <v>0.80098701298701325</v>
      </c>
      <c r="AQ23" s="45">
        <f t="shared" si="33"/>
        <v>0.93761071428571441</v>
      </c>
      <c r="AR23" s="47">
        <f t="shared" si="20"/>
        <v>0.88859772727272734</v>
      </c>
      <c r="AS23" s="16"/>
      <c r="AT23" s="14">
        <f>C5</f>
        <v>18</v>
      </c>
      <c r="AU23" s="14">
        <f t="shared" si="21"/>
        <v>0.48645833333333371</v>
      </c>
      <c r="AV23" s="14">
        <f t="shared" si="22"/>
        <v>8.3392857142857199E-2</v>
      </c>
      <c r="AW23" s="14"/>
      <c r="AX23" s="18">
        <f t="shared" si="23"/>
        <v>14.400000000000004</v>
      </c>
      <c r="AY23" s="14">
        <f t="shared" si="5"/>
        <v>5.7148354291211498E-2</v>
      </c>
      <c r="AZ23" s="22">
        <f t="shared" si="24"/>
        <v>15.300000000000004</v>
      </c>
      <c r="BA23" s="14">
        <f t="shared" si="25"/>
        <v>-0.22641929499072355</v>
      </c>
      <c r="BB23" s="14">
        <f t="shared" si="34"/>
        <v>13.500000000000004</v>
      </c>
      <c r="BC23" s="14">
        <f t="shared" si="36"/>
        <v>-0.25623582766439917</v>
      </c>
    </row>
    <row r="24" spans="13:55" x14ac:dyDescent="0.25">
      <c r="M24" s="13">
        <v>18</v>
      </c>
      <c r="N24" s="16">
        <f t="shared" si="7"/>
        <v>16.200000000000003</v>
      </c>
      <c r="O24" s="16">
        <f t="shared" si="26"/>
        <v>16.200000000000003</v>
      </c>
      <c r="P24" s="18">
        <f t="shared" si="8"/>
        <v>5.3964935064935009</v>
      </c>
      <c r="Q24" s="18">
        <f t="shared" si="9"/>
        <v>-1.1992207792207779</v>
      </c>
      <c r="R24" s="18">
        <f t="shared" si="10"/>
        <v>-1.5389999999999979</v>
      </c>
      <c r="S24" s="18">
        <f t="shared" si="11"/>
        <v>-0.63958441558441448</v>
      </c>
      <c r="T24" s="14"/>
      <c r="U24" s="14"/>
      <c r="V24" s="14"/>
      <c r="W24" s="16">
        <f t="shared" si="12"/>
        <v>-0.21985714285714261</v>
      </c>
      <c r="X24" s="16">
        <f>X8</f>
        <v>0.9</v>
      </c>
      <c r="Y24" s="16">
        <f t="shared" si="28"/>
        <v>0.58020779220779284</v>
      </c>
      <c r="Z24" s="16">
        <f t="shared" si="13"/>
        <v>0.53809523809523796</v>
      </c>
      <c r="AA24" s="18">
        <f t="shared" si="14"/>
        <v>0.34689672232529384</v>
      </c>
      <c r="AB24" s="18">
        <f t="shared" si="35"/>
        <v>15.300000000000004</v>
      </c>
      <c r="AC24" s="18">
        <f t="shared" si="15"/>
        <v>7.4438474025973953</v>
      </c>
      <c r="AD24" s="16">
        <f t="shared" si="16"/>
        <v>0.80714285714285694</v>
      </c>
      <c r="AE24" s="16">
        <f t="shared" si="17"/>
        <v>-2.1228749999999974</v>
      </c>
      <c r="AF24" s="18">
        <f t="shared" si="18"/>
        <v>0.54340630797773681</v>
      </c>
      <c r="AG24" s="16">
        <f t="shared" si="29"/>
        <v>9.9999999999999686E-2</v>
      </c>
      <c r="AH24" s="18">
        <f t="shared" si="30"/>
        <v>6.4467532467532229E-2</v>
      </c>
      <c r="AI24" s="13">
        <f t="shared" si="31"/>
        <v>-0.90000000000000024</v>
      </c>
      <c r="AJ24" s="18">
        <f t="shared" si="19"/>
        <v>-0.93553246753246766</v>
      </c>
      <c r="AK24" s="16">
        <f>N26</f>
        <v>18</v>
      </c>
      <c r="AM24" s="41">
        <f t="shared" si="1"/>
        <v>2.798181818181816E-2</v>
      </c>
      <c r="AN24" s="41">
        <f t="shared" si="2"/>
        <v>2.798181818181816E-2</v>
      </c>
      <c r="AO24" s="40">
        <f t="shared" si="32"/>
        <v>0.90000000000000024</v>
      </c>
      <c r="AP24" s="35">
        <f t="shared" si="3"/>
        <v>0.86446753246753283</v>
      </c>
      <c r="AQ24" s="45">
        <f t="shared" si="33"/>
        <v>0.96351428571428577</v>
      </c>
      <c r="AR24" s="47">
        <f t="shared" si="20"/>
        <v>0.92798181818181835</v>
      </c>
      <c r="AS24" s="16"/>
      <c r="AT24" s="14">
        <f>C5</f>
        <v>18</v>
      </c>
      <c r="AU24" s="14">
        <f t="shared" si="21"/>
        <v>0.59583333333333377</v>
      </c>
      <c r="AV24" s="14">
        <f t="shared" si="22"/>
        <v>0.10214285714285723</v>
      </c>
      <c r="AW24" s="14"/>
      <c r="AX24" s="18">
        <f t="shared" si="23"/>
        <v>15.300000000000004</v>
      </c>
      <c r="AY24" s="14">
        <f t="shared" si="5"/>
        <v>7.2522503951075498E-2</v>
      </c>
      <c r="AZ24" s="22">
        <f t="shared" si="24"/>
        <v>16.200000000000003</v>
      </c>
      <c r="BA24" s="14">
        <f t="shared" si="25"/>
        <v>-0.21011337868480726</v>
      </c>
      <c r="BB24" s="14">
        <f t="shared" si="34"/>
        <v>14.400000000000004</v>
      </c>
      <c r="BC24" s="14">
        <f t="shared" si="36"/>
        <v>-0.24179344465058755</v>
      </c>
    </row>
    <row r="25" spans="13:55" x14ac:dyDescent="0.25">
      <c r="M25" s="13">
        <v>19</v>
      </c>
      <c r="N25" s="16">
        <f t="shared" si="7"/>
        <v>17.100000000000001</v>
      </c>
      <c r="O25" s="16">
        <f t="shared" si="26"/>
        <v>17.100000000000001</v>
      </c>
      <c r="P25" s="18">
        <f t="shared" si="8"/>
        <v>2.9231006493506455</v>
      </c>
      <c r="Q25" s="18">
        <f t="shared" si="9"/>
        <v>-0.6495779220779212</v>
      </c>
      <c r="R25" s="18">
        <f t="shared" si="10"/>
        <v>-0.83362499999999884</v>
      </c>
      <c r="S25" s="18">
        <f t="shared" si="11"/>
        <v>-0.34644155844155794</v>
      </c>
      <c r="T25" s="14"/>
      <c r="U25" s="14"/>
      <c r="V25" s="14"/>
      <c r="W25" s="16">
        <f t="shared" si="12"/>
        <v>-0.11908928571428556</v>
      </c>
      <c r="X25" s="16">
        <f>X7</f>
        <v>0.45</v>
      </c>
      <c r="Y25" s="16">
        <f t="shared" si="28"/>
        <v>0.27677922077922101</v>
      </c>
      <c r="Z25" s="16">
        <f t="shared" si="13"/>
        <v>0.26904761904761898</v>
      </c>
      <c r="AA25" s="18">
        <f t="shared" si="14"/>
        <v>0.16548175633889928</v>
      </c>
      <c r="AB25" s="18">
        <f t="shared" si="35"/>
        <v>16.200000000000003</v>
      </c>
      <c r="AC25" s="18">
        <f t="shared" si="15"/>
        <v>5.3964935064935009</v>
      </c>
      <c r="AD25" s="16">
        <f t="shared" si="16"/>
        <v>0.53809523809523796</v>
      </c>
      <c r="AE25" s="16">
        <f t="shared" si="17"/>
        <v>-1.5389999999999979</v>
      </c>
      <c r="AF25" s="18">
        <f t="shared" si="18"/>
        <v>0.34689672232529384</v>
      </c>
      <c r="AG25" s="16">
        <f t="shared" si="29"/>
        <v>4.9999999999999684E-2</v>
      </c>
      <c r="AH25" s="18">
        <f t="shared" si="30"/>
        <v>3.0753246753246463E-2</v>
      </c>
      <c r="AI25" s="13">
        <f t="shared" si="31"/>
        <v>-0.95000000000000029</v>
      </c>
      <c r="AJ25" s="18">
        <f t="shared" si="19"/>
        <v>-0.96924675324675347</v>
      </c>
      <c r="AK25" s="18">
        <f>AJ26</f>
        <v>-1</v>
      </c>
      <c r="AL25" s="40">
        <v>0</v>
      </c>
      <c r="AM25" s="41">
        <f t="shared" si="1"/>
        <v>1.5156818181818162E-2</v>
      </c>
      <c r="AN25" s="41">
        <f>AM25</f>
        <v>1.5156818181818162E-2</v>
      </c>
      <c r="AO25" s="40">
        <f t="shared" si="32"/>
        <v>0.95000000000000029</v>
      </c>
      <c r="AP25" s="35">
        <f t="shared" si="3"/>
        <v>0.93075324675324711</v>
      </c>
      <c r="AQ25" s="45">
        <f t="shared" si="33"/>
        <v>0.9844035714285716</v>
      </c>
      <c r="AR25" s="47">
        <f t="shared" si="20"/>
        <v>0.96515681818181853</v>
      </c>
      <c r="AS25" s="18"/>
      <c r="AT25" s="14">
        <f>AU26</f>
        <v>0.83333333333333337</v>
      </c>
      <c r="AU25" s="14">
        <f t="shared" si="21"/>
        <v>0.7114583333333333</v>
      </c>
      <c r="AV25" s="14">
        <f t="shared" si="22"/>
        <v>0.12196428571428571</v>
      </c>
      <c r="AW25" s="14"/>
      <c r="AX25" s="18">
        <f t="shared" si="23"/>
        <v>16.200000000000003</v>
      </c>
      <c r="AY25" s="14">
        <f t="shared" si="5"/>
        <v>8.8828420256991808E-2</v>
      </c>
      <c r="AZ25" s="22">
        <f t="shared" si="24"/>
        <v>17.100000000000001</v>
      </c>
      <c r="BA25" s="14">
        <f t="shared" si="25"/>
        <v>-0.19287569573283872</v>
      </c>
      <c r="BB25" s="14">
        <f t="shared" si="34"/>
        <v>15.300000000000004</v>
      </c>
      <c r="BC25" s="14">
        <f t="shared" si="36"/>
        <v>-0.22641929499072355</v>
      </c>
    </row>
    <row r="26" spans="13:55" x14ac:dyDescent="0.25">
      <c r="M26" s="13">
        <v>20</v>
      </c>
      <c r="N26" s="16">
        <f t="shared" si="7"/>
        <v>18</v>
      </c>
      <c r="O26" s="16">
        <f>N26</f>
        <v>18</v>
      </c>
      <c r="P26" s="18">
        <f t="shared" si="8"/>
        <v>0</v>
      </c>
      <c r="Q26" s="18">
        <f t="shared" si="9"/>
        <v>0</v>
      </c>
      <c r="R26" s="18">
        <f t="shared" si="10"/>
        <v>0</v>
      </c>
      <c r="S26" s="18">
        <f t="shared" si="11"/>
        <v>0</v>
      </c>
      <c r="T26" s="13">
        <v>0</v>
      </c>
      <c r="U26" s="13">
        <v>0</v>
      </c>
      <c r="V26" s="16">
        <v>0</v>
      </c>
      <c r="W26" s="16">
        <f t="shared" si="12"/>
        <v>0</v>
      </c>
      <c r="X26" s="16">
        <v>0</v>
      </c>
      <c r="Y26" s="16">
        <f t="shared" si="28"/>
        <v>0</v>
      </c>
      <c r="Z26" s="16">
        <f t="shared" si="13"/>
        <v>0</v>
      </c>
      <c r="AA26" s="18">
        <f t="shared" si="14"/>
        <v>0</v>
      </c>
      <c r="AB26" s="18">
        <f t="shared" si="35"/>
        <v>17.100000000000001</v>
      </c>
      <c r="AC26" s="18">
        <f t="shared" si="15"/>
        <v>2.9231006493506455</v>
      </c>
      <c r="AD26" s="16">
        <f t="shared" si="16"/>
        <v>0.26904761904761898</v>
      </c>
      <c r="AE26" s="16">
        <f t="shared" si="17"/>
        <v>-0.83362499999999884</v>
      </c>
      <c r="AF26" s="18">
        <f t="shared" si="18"/>
        <v>0.16548175633889928</v>
      </c>
      <c r="AG26" s="16">
        <v>0</v>
      </c>
      <c r="AH26" s="18">
        <v>0</v>
      </c>
      <c r="AI26" s="16">
        <v>-1</v>
      </c>
      <c r="AJ26" s="18">
        <f t="shared" si="19"/>
        <v>-1</v>
      </c>
      <c r="AK26" s="16">
        <v>0</v>
      </c>
      <c r="AL26" s="39">
        <v>1</v>
      </c>
      <c r="AM26" s="41">
        <f t="shared" si="1"/>
        <v>1</v>
      </c>
      <c r="AN26" s="41">
        <v>0</v>
      </c>
      <c r="AO26" s="40">
        <f t="shared" si="32"/>
        <v>1.0000000000000002</v>
      </c>
      <c r="AP26" s="35">
        <f t="shared" si="3"/>
        <v>1.0000000000000002</v>
      </c>
      <c r="AQ26" s="45">
        <v>1</v>
      </c>
      <c r="AR26" s="47">
        <f t="shared" si="20"/>
        <v>1.0000000000000002</v>
      </c>
      <c r="AS26" s="16"/>
      <c r="AT26" s="14">
        <f>3/$C$5*((-1+4*N6/$C$3-3*N6^2/$C$3^2)*$P$3+(2*N6/$C$3-3*N6^2/$C$3^2)*$P$4)</f>
        <v>-0.58441558441558439</v>
      </c>
      <c r="AU26" s="14">
        <f t="shared" si="21"/>
        <v>0.83333333333333337</v>
      </c>
      <c r="AV26" s="14">
        <f t="shared" si="22"/>
        <v>0.14285714285714285</v>
      </c>
      <c r="AW26" s="14"/>
      <c r="AX26" s="18">
        <f t="shared" si="23"/>
        <v>17.100000000000001</v>
      </c>
      <c r="AY26" s="14">
        <f t="shared" si="5"/>
        <v>0.10606610320896034</v>
      </c>
      <c r="AZ26" s="22">
        <f t="shared" si="24"/>
        <v>18</v>
      </c>
      <c r="BA26" s="14">
        <f t="shared" si="25"/>
        <v>-0.17470624613481767</v>
      </c>
      <c r="BB26" s="14">
        <f t="shared" si="34"/>
        <v>16.200000000000003</v>
      </c>
      <c r="BC26" s="14">
        <f t="shared" si="36"/>
        <v>-0.21011337868480726</v>
      </c>
    </row>
    <row r="27" spans="13:55" x14ac:dyDescent="0.25">
      <c r="M27" s="13">
        <v>1</v>
      </c>
      <c r="N27" s="16">
        <f t="shared" ref="N27:N46" si="37">N26+$C$3/20</f>
        <v>19.5</v>
      </c>
      <c r="O27" s="16">
        <f>N27-$N$26</f>
        <v>1.5</v>
      </c>
      <c r="P27" s="18">
        <f>-(O27/$C$3)*(1-(O27/$C$3))^2*$C$3*$P$3+(O27/$C$3)^2*(1-(O27/$C$3))*$C$3*$P$4</f>
        <v>-4.8024350649350653</v>
      </c>
      <c r="Q27" s="18">
        <f>-(O27/$C$3)*(1-(O27/$C$3))^2*$C$3*$Q$3+(O27/$C$3)^2*(1-(O27/$C$3))*$C$3*$Q$4</f>
        <v>1.3047077922077921</v>
      </c>
      <c r="R27" s="14"/>
      <c r="S27" s="18">
        <f t="shared" si="11"/>
        <v>-0.80040584415584415</v>
      </c>
      <c r="T27" s="18">
        <f>O27*($C$3-O27)^2/$C$3^2</f>
        <v>1.35375</v>
      </c>
      <c r="U27" s="18">
        <f>-(O27^2*($C$3-O27)/$C$3^2)</f>
        <v>-7.1249999999999994E-2</v>
      </c>
      <c r="V27" s="16">
        <f>$V$36/10*M27+V26</f>
        <v>0.75</v>
      </c>
      <c r="W27" s="16">
        <f t="shared" si="12"/>
        <v>0.2410714285714286</v>
      </c>
      <c r="X27" s="16"/>
      <c r="Y27" s="16">
        <f t="shared" si="28"/>
        <v>-0.40020292207792207</v>
      </c>
      <c r="Z27" s="14"/>
      <c r="AA27" s="18">
        <f t="shared" si="14"/>
        <v>-0.23927476293547728</v>
      </c>
      <c r="AB27" s="18">
        <f t="shared" si="35"/>
        <v>18</v>
      </c>
      <c r="AC27" s="18">
        <f t="shared" si="15"/>
        <v>0</v>
      </c>
      <c r="AD27" s="16">
        <f t="shared" si="16"/>
        <v>0</v>
      </c>
      <c r="AE27" s="16">
        <f t="shared" si="17"/>
        <v>0</v>
      </c>
      <c r="AF27" s="18">
        <f t="shared" si="18"/>
        <v>0</v>
      </c>
      <c r="AG27" s="14"/>
      <c r="AH27" s="18">
        <f t="shared" si="30"/>
        <v>-4.4466991341991349E-2</v>
      </c>
      <c r="AI27" s="14"/>
      <c r="AJ27" s="18">
        <f t="shared" si="19"/>
        <v>-4.4466991341991342E-2</v>
      </c>
      <c r="AK27" s="18">
        <f>AJ27</f>
        <v>-4.4466991341991342E-2</v>
      </c>
      <c r="AL27" s="40">
        <f>AL26-1/20</f>
        <v>0.95</v>
      </c>
      <c r="AM27" s="41">
        <f t="shared" si="1"/>
        <v>0.96943181818181812</v>
      </c>
      <c r="AN27" s="41"/>
      <c r="AO27" s="40">
        <f>AO26-1/20</f>
        <v>0.95000000000000018</v>
      </c>
      <c r="AP27" s="35">
        <f t="shared" si="3"/>
        <v>0.90553300865800879</v>
      </c>
      <c r="AQ27" s="45">
        <f>(-AJ27)+AL27</f>
        <v>0.99446699134199135</v>
      </c>
      <c r="AR27" s="47">
        <f t="shared" si="20"/>
        <v>0.96943181818181834</v>
      </c>
      <c r="AS27" s="18"/>
      <c r="AT27" s="14">
        <f>3/$C$5*((-1+4*O27/$C$3-3*O27^2/$C$3^2)*$P$3+(2*O27/$C$3-3*O27^2/$C$3^2)*$P$4)</f>
        <v>-0.48392857142857149</v>
      </c>
      <c r="AU27" s="14"/>
      <c r="AV27" s="14">
        <f>0.5-0.5*(1/$C$3^2*($C$3^2-4*O27*$C$3+3*O27^2)+4/$C$3*((-1+4*O27/$C$3-3*O27^2/$C$3^2)*$P$3+(2*O27/$C$3-3*O27^2/$C$3^2)*$P$4)+2/$C$3*((-1+4*O27/$C$3-3*O27^2/$C$3^2)*$Q$3+(2*O27/$C$3-3*O27^2/$C$3^2)*$Q$4))+0.5*(1/$C$3^2*(-2*O27*$C$3+3*O27^2)+4/$C$3*((-1+4*O27/$C$3-3*O27^2/$C$3^2)*$Q$3+(2*O27/$C$3-3*O27^2/$C$3^2)*$Q$4)+2/$C$3*((-1+4*O27/$C$3-3*O27^2/$C$3^2)*$P$3+(2*O27/$C$3-3*O27^2/$C$3^2)*$P$4))</f>
        <v>0.1785714285714286</v>
      </c>
      <c r="AW27" s="14"/>
      <c r="AX27" s="18">
        <f t="shared" si="23"/>
        <v>18</v>
      </c>
      <c r="AY27" s="14">
        <f t="shared" si="5"/>
        <v>0.1242355528069814</v>
      </c>
      <c r="AZ27" s="14"/>
      <c r="BA27" s="14"/>
      <c r="BB27" s="14">
        <f t="shared" si="34"/>
        <v>17.100000000000001</v>
      </c>
      <c r="BC27" s="14">
        <f t="shared" si="36"/>
        <v>-0.19287569573283872</v>
      </c>
    </row>
    <row r="28" spans="13:55" x14ac:dyDescent="0.25">
      <c r="M28" s="13">
        <v>2</v>
      </c>
      <c r="N28" s="16">
        <f t="shared" si="37"/>
        <v>21</v>
      </c>
      <c r="O28" s="16">
        <f t="shared" ref="O28:O46" si="38">N28-$N$26</f>
        <v>3</v>
      </c>
      <c r="P28" s="18">
        <f t="shared" ref="P28:P46" si="39">-(O28/$C$3)*(1-(O28/$C$3))^2*$C$3*$P$3+(O28/$C$3)^2*(1-(O28/$C$3))*$C$3*$P$4</f>
        <v>-8.7311688311688336</v>
      </c>
      <c r="Q28" s="18">
        <f t="shared" ref="Q28:Q46" si="40">-(O28/$C$3)*(1-(O28/$C$3))^2*$C$3*$Q$3+(O28/$C$3)^2*(1-(O28/$C$3))*$C$3*$Q$4</f>
        <v>2.8402597402597407</v>
      </c>
      <c r="R28" s="14"/>
      <c r="S28" s="18">
        <f t="shared" si="11"/>
        <v>-1.4551948051948056</v>
      </c>
      <c r="T28" s="18">
        <f t="shared" ref="T28:T45" si="41">O28*($C$3-O28)^2/$C$3^2</f>
        <v>2.4300000000000002</v>
      </c>
      <c r="U28" s="18">
        <f t="shared" ref="U28:U45" si="42">-(O28^2*($C$3-O28)/$C$3^2)</f>
        <v>-0.27</v>
      </c>
      <c r="V28" s="16">
        <f>$V$36/10*M28+$V$26</f>
        <v>1.5</v>
      </c>
      <c r="W28" s="16">
        <f t="shared" si="12"/>
        <v>0.5357142857142857</v>
      </c>
      <c r="X28" s="16"/>
      <c r="Y28" s="16">
        <f t="shared" si="28"/>
        <v>-0.7275974025974028</v>
      </c>
      <c r="Z28" s="14"/>
      <c r="AA28" s="18">
        <f t="shared" si="14"/>
        <v>-0.43501855287569596</v>
      </c>
      <c r="AB28" s="18">
        <f t="shared" si="35"/>
        <v>19.5</v>
      </c>
      <c r="AC28" s="18">
        <f>P27</f>
        <v>-4.8024350649350653</v>
      </c>
      <c r="AD28" s="14"/>
      <c r="AE28" s="14"/>
      <c r="AF28" s="18">
        <f t="shared" si="18"/>
        <v>-0.23927476293547728</v>
      </c>
      <c r="AG28" s="14"/>
      <c r="AH28" s="18">
        <f t="shared" si="30"/>
        <v>-8.0844155844155871E-2</v>
      </c>
      <c r="AI28" s="14"/>
      <c r="AJ28" s="18">
        <f t="shared" si="19"/>
        <v>-8.0844155844155857E-2</v>
      </c>
      <c r="AK28" s="18">
        <f t="shared" ref="AK28:AK66" si="43">AJ28</f>
        <v>-8.0844155844155857E-2</v>
      </c>
      <c r="AL28" s="40">
        <f t="shared" ref="AL28:AL45" si="44">AL27-1/20</f>
        <v>0.89999999999999991</v>
      </c>
      <c r="AM28" s="41">
        <f t="shared" si="1"/>
        <v>0.93272727272727263</v>
      </c>
      <c r="AN28" s="41"/>
      <c r="AO28" s="40">
        <f t="shared" ref="AO28:AO45" si="45">AO27-1/20</f>
        <v>0.90000000000000013</v>
      </c>
      <c r="AP28" s="35">
        <f t="shared" si="3"/>
        <v>0.8191558441558443</v>
      </c>
      <c r="AQ28" s="45">
        <f t="shared" ref="AQ28:AQ46" si="46">(-AJ28)+AL28</f>
        <v>0.98084415584415574</v>
      </c>
      <c r="AR28" s="47">
        <f t="shared" si="20"/>
        <v>0.93272727272727285</v>
      </c>
      <c r="AS28" s="18"/>
      <c r="AT28" s="14">
        <f t="shared" ref="AT28:AT46" si="47">3/$C$5*((-1+4*O28/$C$3-3*O28^2/$C$3^2)*$P$3+(2*O28/$C$3-3*O28^2/$C$3^2)*$P$4)</f>
        <v>-0.3902597402597402</v>
      </c>
      <c r="AU28" s="14"/>
      <c r="AV28" s="14">
        <f t="shared" ref="AV28:AV36" si="48">0.5-0.5*(1/$C$3^2*($C$3^2-4*O28*$C$3+3*O28^2)+4/$C$3*((-1+4*O28/$C$3-3*O28^2/$C$3^2)*$P$3+(2*O28/$C$3-3*O28^2/$C$3^2)*$P$4)+2/$C$3*((-1+4*O28/$C$3-3*O28^2/$C$3^2)*$Q$3+(2*O28/$C$3-3*O28^2/$C$3^2)*$Q$4))+0.5*(1/$C$3^2*(-2*O28*$C$3+3*O28^2)+4/$C$3*((-1+4*O28/$C$3-3*O28^2/$C$3^2)*$Q$3+(2*O28/$C$3-3*O28^2/$C$3^2)*$Q$4)+2/$C$3*((-1+4*O28/$C$3-3*O28^2/$C$3^2)*$P$3+(2*O28/$C$3-3*O28^2/$C$3^2)*$P$4))</f>
        <v>0.21428571428571425</v>
      </c>
      <c r="AW28" s="14"/>
      <c r="AX28" s="18">
        <f t="shared" si="23"/>
        <v>19.5</v>
      </c>
      <c r="AY28" s="14">
        <f t="shared" ref="AY28:AY47" si="49">3*$Z$4/$C$5^2*((-1+4*O27/$C$3-3*O27^2/$C$3^2)*$P$3+(2*O27/$C$3-3*O27^2/$C$3^2)*$P$4)</f>
        <v>-0.14466647770219204</v>
      </c>
      <c r="AZ28" s="14"/>
      <c r="BA28" s="14"/>
      <c r="BB28" s="14">
        <f t="shared" si="34"/>
        <v>18</v>
      </c>
      <c r="BC28" s="14">
        <f t="shared" si="36"/>
        <v>-0.17470624613481767</v>
      </c>
    </row>
    <row r="29" spans="13:55" x14ac:dyDescent="0.25">
      <c r="M29" s="13">
        <v>3</v>
      </c>
      <c r="N29" s="16">
        <f t="shared" si="37"/>
        <v>22.5</v>
      </c>
      <c r="O29" s="16">
        <f t="shared" si="38"/>
        <v>4.5</v>
      </c>
      <c r="P29" s="18">
        <f t="shared" si="39"/>
        <v>-11.847564935064934</v>
      </c>
      <c r="Q29" s="18">
        <f t="shared" si="40"/>
        <v>4.5452922077922073</v>
      </c>
      <c r="R29" s="14"/>
      <c r="S29" s="18">
        <f t="shared" si="11"/>
        <v>-1.9745941558441555</v>
      </c>
      <c r="T29" s="18">
        <f t="shared" si="41"/>
        <v>3.2512500000000002</v>
      </c>
      <c r="U29" s="18">
        <f t="shared" si="42"/>
        <v>-0.57374999999999998</v>
      </c>
      <c r="V29" s="16">
        <f t="shared" ref="V29:V35" si="50">$V$36/10*M29+$V$26</f>
        <v>2.25</v>
      </c>
      <c r="W29" s="16">
        <f t="shared" si="12"/>
        <v>0.8839285714285714</v>
      </c>
      <c r="X29" s="16"/>
      <c r="Y29" s="16">
        <f t="shared" si="28"/>
        <v>-0.98729707792207777</v>
      </c>
      <c r="Z29" s="14"/>
      <c r="AA29" s="18">
        <f t="shared" si="14"/>
        <v>-0.59028872912801489</v>
      </c>
      <c r="AB29" s="18">
        <f t="shared" si="35"/>
        <v>21</v>
      </c>
      <c r="AC29" s="18">
        <f t="shared" ref="AC29:AC67" si="51">P28</f>
        <v>-8.7311688311688336</v>
      </c>
      <c r="AD29" s="14"/>
      <c r="AE29" s="14"/>
      <c r="AF29" s="18">
        <f t="shared" si="18"/>
        <v>-0.43501855287569596</v>
      </c>
      <c r="AG29" s="14"/>
      <c r="AH29" s="18">
        <f t="shared" si="30"/>
        <v>-0.10969967532467531</v>
      </c>
      <c r="AI29" s="14"/>
      <c r="AJ29" s="18">
        <f t="shared" si="19"/>
        <v>-0.1096996753246753</v>
      </c>
      <c r="AK29" s="18">
        <f t="shared" si="43"/>
        <v>-0.1096996753246753</v>
      </c>
      <c r="AL29" s="40">
        <f t="shared" si="44"/>
        <v>0.84999999999999987</v>
      </c>
      <c r="AM29" s="41">
        <f t="shared" si="1"/>
        <v>0.89056818181818165</v>
      </c>
      <c r="AN29" s="41"/>
      <c r="AO29" s="40">
        <f t="shared" si="45"/>
        <v>0.85000000000000009</v>
      </c>
      <c r="AP29" s="35">
        <f t="shared" si="3"/>
        <v>0.74030032467532481</v>
      </c>
      <c r="AQ29" s="45">
        <f t="shared" si="46"/>
        <v>0.95969967532467515</v>
      </c>
      <c r="AR29" s="47">
        <f t="shared" si="20"/>
        <v>0.89056818181818187</v>
      </c>
      <c r="AS29" s="18"/>
      <c r="AT29" s="14">
        <f t="shared" si="47"/>
        <v>-0.30340909090909091</v>
      </c>
      <c r="AU29" s="14"/>
      <c r="AV29" s="14">
        <f t="shared" si="48"/>
        <v>0.24999999999999994</v>
      </c>
      <c r="AW29" s="14"/>
      <c r="AX29" s="18">
        <f t="shared" si="23"/>
        <v>21</v>
      </c>
      <c r="AY29" s="14">
        <f t="shared" si="49"/>
        <v>-0.11666494880780597</v>
      </c>
      <c r="AZ29" s="14"/>
      <c r="BA29" s="14"/>
      <c r="BB29" s="14">
        <f t="shared" si="34"/>
        <v>19.5</v>
      </c>
      <c r="BC29" s="14">
        <f>AY28</f>
        <v>-0.14466647770219204</v>
      </c>
    </row>
    <row r="30" spans="13:55" x14ac:dyDescent="0.25">
      <c r="M30" s="13">
        <v>4</v>
      </c>
      <c r="N30" s="16">
        <f t="shared" si="37"/>
        <v>24</v>
      </c>
      <c r="O30" s="16">
        <f t="shared" si="38"/>
        <v>6</v>
      </c>
      <c r="P30" s="18">
        <f t="shared" si="39"/>
        <v>-14.212987012987016</v>
      </c>
      <c r="Q30" s="18">
        <f t="shared" si="40"/>
        <v>6.3584415584415588</v>
      </c>
      <c r="R30" s="14"/>
      <c r="S30" s="18">
        <f t="shared" si="11"/>
        <v>-2.3688311688311692</v>
      </c>
      <c r="T30" s="18">
        <f t="shared" si="41"/>
        <v>3.84</v>
      </c>
      <c r="U30" s="18">
        <f t="shared" si="42"/>
        <v>-0.96</v>
      </c>
      <c r="V30" s="16">
        <f t="shared" si="50"/>
        <v>3</v>
      </c>
      <c r="W30" s="16">
        <f t="shared" si="12"/>
        <v>1.285714285714286</v>
      </c>
      <c r="X30" s="16"/>
      <c r="Y30" s="16">
        <f t="shared" si="28"/>
        <v>-1.1844155844155846</v>
      </c>
      <c r="Z30" s="14"/>
      <c r="AA30" s="18">
        <f t="shared" si="14"/>
        <v>-0.70814265099979412</v>
      </c>
      <c r="AB30" s="18">
        <f t="shared" si="35"/>
        <v>22.5</v>
      </c>
      <c r="AC30" s="18">
        <f t="shared" si="51"/>
        <v>-11.847564935064934</v>
      </c>
      <c r="AD30" s="14"/>
      <c r="AE30" s="14"/>
      <c r="AF30" s="18">
        <f t="shared" si="18"/>
        <v>-0.59028872912801489</v>
      </c>
      <c r="AG30" s="14"/>
      <c r="AH30" s="18">
        <f t="shared" si="30"/>
        <v>-0.13160173160173164</v>
      </c>
      <c r="AI30" s="14"/>
      <c r="AJ30" s="18">
        <f t="shared" si="19"/>
        <v>-0.13160173160173164</v>
      </c>
      <c r="AK30" s="18">
        <f t="shared" si="43"/>
        <v>-0.13160173160173164</v>
      </c>
      <c r="AL30" s="40">
        <f t="shared" si="44"/>
        <v>0.79999999999999982</v>
      </c>
      <c r="AM30" s="41">
        <f>AL30+1/$C$3*(T30+3*P30/$C$3+3*Q30/$C$3)+1/$C$3*(U30+3*P30/$C$3+3*Q30/$C$3)</f>
        <v>0.84363636363636341</v>
      </c>
      <c r="AN30" s="41"/>
      <c r="AO30" s="40">
        <f t="shared" si="45"/>
        <v>0.8</v>
      </c>
      <c r="AP30" s="35">
        <f t="shared" si="3"/>
        <v>0.66839826839826844</v>
      </c>
      <c r="AQ30" s="45">
        <f t="shared" si="46"/>
        <v>0.93160173160173143</v>
      </c>
      <c r="AR30" s="47">
        <f t="shared" si="20"/>
        <v>0.84363636363636363</v>
      </c>
      <c r="AS30" s="18"/>
      <c r="AT30" s="14">
        <f t="shared" si="47"/>
        <v>-0.22337662337662337</v>
      </c>
      <c r="AU30" s="14"/>
      <c r="AV30" s="14">
        <f t="shared" si="48"/>
        <v>0.28571428571428564</v>
      </c>
      <c r="AW30" s="14"/>
      <c r="AX30" s="18">
        <f t="shared" si="23"/>
        <v>22.5</v>
      </c>
      <c r="AY30" s="14">
        <f t="shared" si="49"/>
        <v>-9.0701659451659478E-2</v>
      </c>
      <c r="AZ30" s="14"/>
      <c r="BA30" s="14"/>
      <c r="BB30" s="14">
        <f t="shared" si="34"/>
        <v>21</v>
      </c>
      <c r="BC30" s="14">
        <f t="shared" ref="BC30:BC68" si="52">AY29</f>
        <v>-0.11666494880780597</v>
      </c>
    </row>
    <row r="31" spans="13:55" x14ac:dyDescent="0.25">
      <c r="M31" s="13">
        <v>5</v>
      </c>
      <c r="N31" s="16">
        <f t="shared" si="37"/>
        <v>25.5</v>
      </c>
      <c r="O31" s="16">
        <f t="shared" si="38"/>
        <v>7.5</v>
      </c>
      <c r="P31" s="18">
        <f t="shared" si="39"/>
        <v>-15.888798701298702</v>
      </c>
      <c r="Q31" s="18">
        <f t="shared" si="40"/>
        <v>8.2183441558441555</v>
      </c>
      <c r="R31" s="14"/>
      <c r="S31" s="18">
        <f t="shared" si="11"/>
        <v>-2.648133116883117</v>
      </c>
      <c r="T31" s="18">
        <f t="shared" si="41"/>
        <v>4.21875</v>
      </c>
      <c r="U31" s="18">
        <f t="shared" si="42"/>
        <v>-1.40625</v>
      </c>
      <c r="V31" s="16">
        <f t="shared" si="50"/>
        <v>3.75</v>
      </c>
      <c r="W31" s="16">
        <f t="shared" si="12"/>
        <v>1.7410714285714284</v>
      </c>
      <c r="X31" s="16"/>
      <c r="Y31" s="16">
        <f t="shared" si="28"/>
        <v>-1.3240665584415585</v>
      </c>
      <c r="Z31" s="14"/>
      <c r="AA31" s="18">
        <f t="shared" si="14"/>
        <v>-0.79163767779839234</v>
      </c>
      <c r="AB31" s="18">
        <f t="shared" si="35"/>
        <v>24</v>
      </c>
      <c r="AC31" s="18">
        <f t="shared" si="51"/>
        <v>-14.212987012987016</v>
      </c>
      <c r="AD31" s="14"/>
      <c r="AE31" s="14"/>
      <c r="AF31" s="18">
        <f t="shared" si="18"/>
        <v>-0.70814265099979412</v>
      </c>
      <c r="AG31" s="14"/>
      <c r="AH31" s="18">
        <f t="shared" si="30"/>
        <v>-0.1471185064935065</v>
      </c>
      <c r="AI31" s="14"/>
      <c r="AJ31" s="18">
        <f t="shared" si="19"/>
        <v>-0.1471185064935065</v>
      </c>
      <c r="AK31" s="18">
        <f t="shared" si="43"/>
        <v>-0.1471185064935065</v>
      </c>
      <c r="AL31" s="40">
        <f t="shared" si="44"/>
        <v>0.74999999999999978</v>
      </c>
      <c r="AM31" s="41">
        <f t="shared" ref="AM31:AM66" si="53">AL31+1/$C$3*(T31+3*P31/$C$3+3*Q31/$C$3)+1/$C$3*(U31+3*P31/$C$3+3*Q31/$C$3)</f>
        <v>0.79261363636363624</v>
      </c>
      <c r="AN31" s="41"/>
      <c r="AO31" s="40">
        <f t="shared" si="45"/>
        <v>0.75</v>
      </c>
      <c r="AP31" s="35">
        <f t="shared" si="3"/>
        <v>0.60288149350649345</v>
      </c>
      <c r="AQ31" s="45">
        <f t="shared" si="46"/>
        <v>0.89711850649350633</v>
      </c>
      <c r="AR31" s="47">
        <f t="shared" si="20"/>
        <v>0.79261363636363646</v>
      </c>
      <c r="AS31" s="18"/>
      <c r="AT31" s="14">
        <f t="shared" si="47"/>
        <v>-0.15016233766233766</v>
      </c>
      <c r="AU31" s="14"/>
      <c r="AV31" s="14">
        <f t="shared" si="48"/>
        <v>0.3214285714285714</v>
      </c>
      <c r="AW31" s="14"/>
      <c r="AX31" s="18">
        <f t="shared" si="23"/>
        <v>24</v>
      </c>
      <c r="AY31" s="14">
        <f t="shared" si="49"/>
        <v>-6.6776609633752509E-2</v>
      </c>
      <c r="AZ31" s="14"/>
      <c r="BA31" s="14"/>
      <c r="BB31" s="14">
        <f t="shared" si="34"/>
        <v>22.5</v>
      </c>
      <c r="BC31" s="14">
        <f t="shared" si="52"/>
        <v>-9.0701659451659478E-2</v>
      </c>
    </row>
    <row r="32" spans="13:55" x14ac:dyDescent="0.25">
      <c r="M32" s="13">
        <v>6</v>
      </c>
      <c r="N32" s="16">
        <f t="shared" si="37"/>
        <v>27</v>
      </c>
      <c r="O32" s="16">
        <f t="shared" si="38"/>
        <v>9</v>
      </c>
      <c r="P32" s="18">
        <f t="shared" si="39"/>
        <v>-16.936363636363634</v>
      </c>
      <c r="Q32" s="18">
        <f t="shared" si="40"/>
        <v>10.063636363636363</v>
      </c>
      <c r="R32" s="14"/>
      <c r="S32" s="18">
        <f t="shared" si="11"/>
        <v>-2.8227272727272723</v>
      </c>
      <c r="T32" s="18">
        <f t="shared" si="41"/>
        <v>4.41</v>
      </c>
      <c r="U32" s="18">
        <f t="shared" si="42"/>
        <v>-1.89</v>
      </c>
      <c r="V32" s="16">
        <f t="shared" si="50"/>
        <v>4.5</v>
      </c>
      <c r="W32" s="16">
        <f t="shared" si="12"/>
        <v>2.25</v>
      </c>
      <c r="X32" s="16"/>
      <c r="Y32" s="16">
        <f t="shared" si="28"/>
        <v>-1.4113636363636362</v>
      </c>
      <c r="Z32" s="14"/>
      <c r="AA32" s="18">
        <f t="shared" si="14"/>
        <v>-0.84383116883116893</v>
      </c>
      <c r="AB32" s="18">
        <f t="shared" si="35"/>
        <v>25.5</v>
      </c>
      <c r="AC32" s="18">
        <f t="shared" si="51"/>
        <v>-15.888798701298702</v>
      </c>
      <c r="AD32" s="14"/>
      <c r="AE32" s="14"/>
      <c r="AF32" s="18">
        <f t="shared" si="18"/>
        <v>-0.79163767779839234</v>
      </c>
      <c r="AG32" s="14"/>
      <c r="AH32" s="18">
        <f t="shared" si="30"/>
        <v>-0.1568181818181818</v>
      </c>
      <c r="AI32" s="14"/>
      <c r="AJ32" s="18">
        <f t="shared" si="19"/>
        <v>-0.15681818181818177</v>
      </c>
      <c r="AK32" s="18">
        <f t="shared" si="43"/>
        <v>-0.15681818181818177</v>
      </c>
      <c r="AL32" s="40">
        <f t="shared" si="44"/>
        <v>0.69999999999999973</v>
      </c>
      <c r="AM32" s="41">
        <f t="shared" si="53"/>
        <v>0.73818181818181794</v>
      </c>
      <c r="AN32" s="41"/>
      <c r="AO32" s="40">
        <f t="shared" si="45"/>
        <v>0.7</v>
      </c>
      <c r="AP32" s="35">
        <f t="shared" si="3"/>
        <v>0.54318181818181821</v>
      </c>
      <c r="AQ32" s="45">
        <f t="shared" si="46"/>
        <v>0.85681818181818148</v>
      </c>
      <c r="AR32" s="47">
        <f t="shared" si="20"/>
        <v>0.73818181818181816</v>
      </c>
      <c r="AS32" s="18"/>
      <c r="AT32" s="14">
        <f t="shared" si="47"/>
        <v>-8.376623376623378E-2</v>
      </c>
      <c r="AU32" s="14"/>
      <c r="AV32" s="14">
        <f t="shared" si="48"/>
        <v>0.35714285714285715</v>
      </c>
      <c r="AW32" s="14"/>
      <c r="AX32" s="18">
        <f t="shared" si="23"/>
        <v>25.5</v>
      </c>
      <c r="AY32" s="14">
        <f t="shared" si="49"/>
        <v>-4.4889799354085082E-2</v>
      </c>
      <c r="AZ32" s="14"/>
      <c r="BA32" s="14"/>
      <c r="BB32" s="14">
        <f t="shared" si="34"/>
        <v>24</v>
      </c>
      <c r="BC32" s="14">
        <f t="shared" si="52"/>
        <v>-6.6776609633752509E-2</v>
      </c>
    </row>
    <row r="33" spans="13:55" x14ac:dyDescent="0.25">
      <c r="M33" s="13">
        <v>7</v>
      </c>
      <c r="N33" s="16">
        <f t="shared" si="37"/>
        <v>28.5</v>
      </c>
      <c r="O33" s="16">
        <f t="shared" si="38"/>
        <v>10.5</v>
      </c>
      <c r="P33" s="18">
        <f t="shared" si="39"/>
        <v>-17.417045454545455</v>
      </c>
      <c r="Q33" s="18">
        <f t="shared" si="40"/>
        <v>11.832954545454545</v>
      </c>
      <c r="R33" s="14"/>
      <c r="S33" s="18">
        <f t="shared" si="11"/>
        <v>-2.9028409090909091</v>
      </c>
      <c r="T33" s="18">
        <f t="shared" si="41"/>
        <v>4.4362500000000002</v>
      </c>
      <c r="U33" s="18">
        <f t="shared" si="42"/>
        <v>-2.3887499999999999</v>
      </c>
      <c r="V33" s="16">
        <f t="shared" si="50"/>
        <v>5.25</v>
      </c>
      <c r="W33" s="16">
        <f t="shared" si="12"/>
        <v>2.8125</v>
      </c>
      <c r="X33" s="16"/>
      <c r="Y33" s="16">
        <f t="shared" si="28"/>
        <v>-1.4514204545454545</v>
      </c>
      <c r="Z33" s="14"/>
      <c r="AA33" s="18">
        <f t="shared" si="14"/>
        <v>-0.86778048340548364</v>
      </c>
      <c r="AB33" s="18">
        <f t="shared" si="35"/>
        <v>27</v>
      </c>
      <c r="AC33" s="18">
        <f t="shared" si="51"/>
        <v>-16.936363636363634</v>
      </c>
      <c r="AD33" s="14"/>
      <c r="AE33" s="14"/>
      <c r="AF33" s="18">
        <f t="shared" si="18"/>
        <v>-0.84383116883116893</v>
      </c>
      <c r="AG33" s="14"/>
      <c r="AH33" s="18">
        <f t="shared" si="30"/>
        <v>-0.16126893939393938</v>
      </c>
      <c r="AI33" s="14"/>
      <c r="AJ33" s="18">
        <f t="shared" si="19"/>
        <v>-0.16126893939393938</v>
      </c>
      <c r="AK33" s="18">
        <f t="shared" si="43"/>
        <v>-0.16126893939393938</v>
      </c>
      <c r="AL33" s="40">
        <f t="shared" si="44"/>
        <v>0.64999999999999969</v>
      </c>
      <c r="AM33" s="41">
        <f t="shared" si="53"/>
        <v>0.68102272727272695</v>
      </c>
      <c r="AN33" s="41"/>
      <c r="AO33" s="40">
        <f t="shared" si="45"/>
        <v>0.64999999999999991</v>
      </c>
      <c r="AP33" s="35">
        <f t="shared" si="3"/>
        <v>0.48873106060606053</v>
      </c>
      <c r="AQ33" s="45">
        <f t="shared" si="46"/>
        <v>0.81126893939393907</v>
      </c>
      <c r="AR33" s="47">
        <f t="shared" si="20"/>
        <v>0.68102272727272717</v>
      </c>
      <c r="AS33" s="18"/>
      <c r="AT33" s="14">
        <f t="shared" si="47"/>
        <v>-2.4188311688311724E-2</v>
      </c>
      <c r="AU33" s="14"/>
      <c r="AV33" s="14">
        <f t="shared" si="48"/>
        <v>0.39285714285714285</v>
      </c>
      <c r="AW33" s="14">
        <f>AW34</f>
        <v>33</v>
      </c>
      <c r="AX33" s="18">
        <f t="shared" si="23"/>
        <v>27</v>
      </c>
      <c r="AY33" s="14">
        <f t="shared" si="49"/>
        <v>-2.5041228612657195E-2</v>
      </c>
      <c r="AZ33" s="14"/>
      <c r="BA33" s="14"/>
      <c r="BB33" s="14">
        <f t="shared" si="34"/>
        <v>25.5</v>
      </c>
      <c r="BC33" s="14">
        <f t="shared" si="52"/>
        <v>-4.4889799354085082E-2</v>
      </c>
    </row>
    <row r="34" spans="13:55" x14ac:dyDescent="0.25">
      <c r="M34" s="13">
        <v>8</v>
      </c>
      <c r="N34" s="16">
        <f t="shared" si="37"/>
        <v>30</v>
      </c>
      <c r="O34" s="16">
        <f t="shared" si="38"/>
        <v>12</v>
      </c>
      <c r="P34" s="18">
        <f t="shared" si="39"/>
        <v>-17.392207792207792</v>
      </c>
      <c r="Q34" s="18">
        <f t="shared" si="40"/>
        <v>13.464935064935066</v>
      </c>
      <c r="R34" s="14"/>
      <c r="S34" s="18">
        <f t="shared" si="11"/>
        <v>-2.8987012987012983</v>
      </c>
      <c r="T34" s="18">
        <f t="shared" si="41"/>
        <v>4.32</v>
      </c>
      <c r="U34" s="18">
        <f t="shared" si="42"/>
        <v>-2.88</v>
      </c>
      <c r="V34" s="16">
        <f t="shared" si="50"/>
        <v>6</v>
      </c>
      <c r="W34" s="16">
        <f t="shared" si="12"/>
        <v>3.4285714285714284</v>
      </c>
      <c r="X34" s="16"/>
      <c r="Y34" s="16">
        <f t="shared" si="28"/>
        <v>-1.4493506493506492</v>
      </c>
      <c r="Z34" s="14"/>
      <c r="AA34" s="18">
        <f t="shared" si="14"/>
        <v>-0.8665429808286953</v>
      </c>
      <c r="AB34" s="18">
        <f t="shared" si="35"/>
        <v>28.5</v>
      </c>
      <c r="AC34" s="18">
        <f t="shared" si="51"/>
        <v>-17.417045454545455</v>
      </c>
      <c r="AD34" s="14"/>
      <c r="AE34" s="14"/>
      <c r="AF34" s="18">
        <f t="shared" si="18"/>
        <v>-0.86778048340548364</v>
      </c>
      <c r="AG34" s="14"/>
      <c r="AH34" s="18">
        <f>AG34+R34/$C$5+3*P34/$C$5/$C$5</f>
        <v>-0.16103896103896104</v>
      </c>
      <c r="AI34" s="14"/>
      <c r="AJ34" s="18">
        <f t="shared" si="19"/>
        <v>-0.16103896103896104</v>
      </c>
      <c r="AK34" s="18">
        <f t="shared" si="43"/>
        <v>-0.16103896103896104</v>
      </c>
      <c r="AL34" s="40">
        <f t="shared" si="44"/>
        <v>0.59999999999999964</v>
      </c>
      <c r="AM34" s="41">
        <f t="shared" si="53"/>
        <v>0.62181818181818138</v>
      </c>
      <c r="AN34" s="41"/>
      <c r="AO34" s="40">
        <f t="shared" si="45"/>
        <v>0.59999999999999987</v>
      </c>
      <c r="AP34" s="35">
        <f t="shared" si="3"/>
        <v>0.43896103896103883</v>
      </c>
      <c r="AQ34" s="45">
        <f t="shared" si="46"/>
        <v>0.76103896103896074</v>
      </c>
      <c r="AR34" s="47">
        <f t="shared" si="20"/>
        <v>0.6218181818181816</v>
      </c>
      <c r="AS34" s="18"/>
      <c r="AT34" s="14">
        <f t="shared" si="47"/>
        <v>2.8571428571428626E-2</v>
      </c>
      <c r="AU34" s="14"/>
      <c r="AV34" s="14">
        <f t="shared" si="48"/>
        <v>0.42857142857142855</v>
      </c>
      <c r="AW34" s="14">
        <f>C5+C3/2</f>
        <v>33</v>
      </c>
      <c r="AX34" s="18">
        <f t="shared" si="23"/>
        <v>28.5</v>
      </c>
      <c r="AY34" s="14">
        <f t="shared" si="49"/>
        <v>-7.2308974094688512E-3</v>
      </c>
      <c r="AZ34" s="14"/>
      <c r="BA34" s="14"/>
      <c r="BB34" s="14">
        <f t="shared" si="34"/>
        <v>27</v>
      </c>
      <c r="BC34" s="14">
        <f t="shared" si="52"/>
        <v>-2.5041228612657195E-2</v>
      </c>
    </row>
    <row r="35" spans="13:55" x14ac:dyDescent="0.25">
      <c r="M35" s="13">
        <v>9</v>
      </c>
      <c r="N35" s="16">
        <f t="shared" si="37"/>
        <v>31.5</v>
      </c>
      <c r="O35" s="16">
        <f t="shared" si="38"/>
        <v>13.5</v>
      </c>
      <c r="P35" s="18">
        <f t="shared" si="39"/>
        <v>-16.923214285714291</v>
      </c>
      <c r="Q35" s="18">
        <f t="shared" si="40"/>
        <v>14.898214285714289</v>
      </c>
      <c r="R35" s="14"/>
      <c r="S35" s="18">
        <f t="shared" si="11"/>
        <v>-2.820535714285715</v>
      </c>
      <c r="T35" s="18">
        <f t="shared" si="41"/>
        <v>4.0837500000000002</v>
      </c>
      <c r="U35" s="18">
        <f t="shared" si="42"/>
        <v>-3.3412500000000001</v>
      </c>
      <c r="V35" s="16">
        <f t="shared" si="50"/>
        <v>6.75</v>
      </c>
      <c r="W35" s="16">
        <f t="shared" si="12"/>
        <v>4.0982142857142856</v>
      </c>
      <c r="X35" s="16"/>
      <c r="Y35" s="16">
        <f t="shared" si="28"/>
        <v>-1.4102678571428575</v>
      </c>
      <c r="Z35" s="14"/>
      <c r="AA35" s="18">
        <f t="shared" si="14"/>
        <v>-0.84317602040816375</v>
      </c>
      <c r="AB35" s="18">
        <f t="shared" si="35"/>
        <v>30</v>
      </c>
      <c r="AC35" s="18">
        <f t="shared" si="51"/>
        <v>-17.392207792207792</v>
      </c>
      <c r="AD35" s="14"/>
      <c r="AE35" s="14"/>
      <c r="AF35" s="18">
        <f t="shared" si="18"/>
        <v>-0.8665429808286953</v>
      </c>
      <c r="AG35" s="14"/>
      <c r="AH35" s="18">
        <f t="shared" si="30"/>
        <v>-0.15669642857142863</v>
      </c>
      <c r="AI35" s="14"/>
      <c r="AJ35" s="18">
        <f t="shared" si="19"/>
        <v>-0.1566964285714286</v>
      </c>
      <c r="AK35" s="18">
        <f t="shared" si="43"/>
        <v>-0.1566964285714286</v>
      </c>
      <c r="AL35" s="40">
        <f t="shared" si="44"/>
        <v>0.5499999999999996</v>
      </c>
      <c r="AM35" s="41">
        <f t="shared" si="53"/>
        <v>0.56124999999999958</v>
      </c>
      <c r="AN35" s="41"/>
      <c r="AO35" s="40">
        <f t="shared" si="45"/>
        <v>0.54999999999999982</v>
      </c>
      <c r="AP35" s="35">
        <f t="shared" si="3"/>
        <v>0.3933035714285712</v>
      </c>
      <c r="AQ35" s="45">
        <f t="shared" si="46"/>
        <v>0.70669642857142823</v>
      </c>
      <c r="AR35" s="47">
        <f t="shared" si="20"/>
        <v>0.5612499999999998</v>
      </c>
      <c r="AS35" s="18"/>
      <c r="AT35" s="14">
        <f t="shared" si="47"/>
        <v>7.4512987012987031E-2</v>
      </c>
      <c r="AU35" s="14"/>
      <c r="AV35" s="14">
        <f t="shared" si="48"/>
        <v>0.4642857142857143</v>
      </c>
      <c r="AW35" s="14">
        <f>AV36</f>
        <v>0.49999999999999994</v>
      </c>
      <c r="AX35" s="18">
        <f t="shared" si="23"/>
        <v>30</v>
      </c>
      <c r="AY35" s="14">
        <f t="shared" si="49"/>
        <v>8.5411942554799881E-3</v>
      </c>
      <c r="AZ35" s="14"/>
      <c r="BA35" s="14"/>
      <c r="BB35" s="14">
        <f t="shared" si="34"/>
        <v>28.5</v>
      </c>
      <c r="BC35" s="14">
        <f t="shared" si="52"/>
        <v>-7.2308974094688512E-3</v>
      </c>
    </row>
    <row r="36" spans="13:55" x14ac:dyDescent="0.25">
      <c r="M36" s="13">
        <v>10</v>
      </c>
      <c r="N36" s="16">
        <f t="shared" si="37"/>
        <v>33</v>
      </c>
      <c r="O36" s="16">
        <f t="shared" si="38"/>
        <v>15</v>
      </c>
      <c r="P36" s="18">
        <f t="shared" si="39"/>
        <v>-16.071428571428573</v>
      </c>
      <c r="Q36" s="18">
        <f t="shared" si="40"/>
        <v>16.071428571428573</v>
      </c>
      <c r="R36" s="14"/>
      <c r="S36" s="18">
        <f t="shared" si="11"/>
        <v>-2.6785714285714288</v>
      </c>
      <c r="T36" s="18">
        <f t="shared" si="41"/>
        <v>3.75</v>
      </c>
      <c r="U36" s="18">
        <f t="shared" si="42"/>
        <v>-3.75</v>
      </c>
      <c r="V36" s="16">
        <f>0.25*C3</f>
        <v>7.5</v>
      </c>
      <c r="W36" s="16">
        <f t="shared" si="12"/>
        <v>4.8214285714285712</v>
      </c>
      <c r="X36" s="16"/>
      <c r="Y36" s="16">
        <f t="shared" si="28"/>
        <v>-1.3392857142857144</v>
      </c>
      <c r="Z36" s="14"/>
      <c r="AA36" s="18">
        <f t="shared" si="14"/>
        <v>-0.8007369614512474</v>
      </c>
      <c r="AB36" s="18">
        <f t="shared" si="35"/>
        <v>31.5</v>
      </c>
      <c r="AC36" s="18">
        <f t="shared" si="51"/>
        <v>-16.923214285714291</v>
      </c>
      <c r="AD36" s="14"/>
      <c r="AE36" s="14"/>
      <c r="AF36" s="18">
        <f t="shared" si="18"/>
        <v>-0.84317602040816375</v>
      </c>
      <c r="AG36" s="14"/>
      <c r="AH36" s="18">
        <f t="shared" si="30"/>
        <v>-0.14880952380952384</v>
      </c>
      <c r="AI36" s="14"/>
      <c r="AJ36" s="18">
        <f t="shared" si="19"/>
        <v>-0.14880952380952381</v>
      </c>
      <c r="AK36" s="18">
        <f t="shared" si="43"/>
        <v>-0.14880952380952381</v>
      </c>
      <c r="AL36" s="40">
        <f t="shared" si="44"/>
        <v>0.49999999999999961</v>
      </c>
      <c r="AM36" s="41">
        <f t="shared" si="53"/>
        <v>0.49999999999999956</v>
      </c>
      <c r="AN36" s="41"/>
      <c r="AO36" s="40">
        <f t="shared" si="45"/>
        <v>0.49999999999999983</v>
      </c>
      <c r="AP36" s="35">
        <f t="shared" si="3"/>
        <v>0.35119047619047605</v>
      </c>
      <c r="AQ36" s="45">
        <f t="shared" si="46"/>
        <v>0.64880952380952339</v>
      </c>
      <c r="AR36" s="47">
        <f t="shared" si="20"/>
        <v>0.49999999999999978</v>
      </c>
      <c r="AS36" s="18"/>
      <c r="AT36" s="14">
        <f t="shared" si="47"/>
        <v>0.11363636363636365</v>
      </c>
      <c r="AU36" s="14"/>
      <c r="AV36" s="14">
        <f t="shared" si="48"/>
        <v>0.49999999999999994</v>
      </c>
      <c r="AW36" s="14">
        <f>-0.5-0.5*(1/$C$3^2*($C$3^2-4*O36*$C$3+3*O36^2)+4/$C$3*((-1+4*O36/$C$3-3*O36^2/$C$3^2)*$P$3+(2*O36/$C$3-3*O36^2/$C$3^2)*$P$4)+2/$C$3*((-1+4*O36/$C$3-3*O36^2/$C$3^2)*$Q$3+(2*O36/$C$3-3*O36^2/$C$3^2)*$Q$4))+0.5*(1/$C$3^2*(-2*O36*$C$3+3*O36^2)+4/$C$3*((-1+4*O36/$C$3-3*O36^2/$C$3^2)*$Q$3+(2*O36/$C$3-3*O36^2/$C$3^2)*$Q$4)+2/$C$3*((-1+4*O36/$C$3-3*O36^2/$C$3^2)*$P$3+(2*O36/$C$3-3*O36^2/$C$3^2)*$P$4))</f>
        <v>-0.5</v>
      </c>
      <c r="AX36" s="18">
        <f t="shared" si="23"/>
        <v>31.5</v>
      </c>
      <c r="AY36" s="14">
        <f t="shared" si="49"/>
        <v>2.2275046382189249E-2</v>
      </c>
      <c r="AZ36" s="14"/>
      <c r="BA36" s="14"/>
      <c r="BB36" s="14">
        <f t="shared" si="34"/>
        <v>30</v>
      </c>
      <c r="BC36" s="14">
        <f t="shared" si="52"/>
        <v>8.5411942554799881E-3</v>
      </c>
    </row>
    <row r="37" spans="13:55" x14ac:dyDescent="0.25">
      <c r="M37" s="13">
        <v>11</v>
      </c>
      <c r="N37" s="16">
        <f t="shared" si="37"/>
        <v>34.5</v>
      </c>
      <c r="O37" s="16">
        <f t="shared" si="38"/>
        <v>16.5</v>
      </c>
      <c r="P37" s="18">
        <f t="shared" si="39"/>
        <v>-14.898214285714284</v>
      </c>
      <c r="Q37" s="18">
        <f t="shared" si="40"/>
        <v>16.923214285714288</v>
      </c>
      <c r="R37" s="14"/>
      <c r="S37" s="18">
        <f t="shared" si="11"/>
        <v>-2.4830357142857138</v>
      </c>
      <c r="T37" s="18">
        <f t="shared" si="41"/>
        <v>3.3412500000000001</v>
      </c>
      <c r="U37" s="18">
        <f t="shared" si="42"/>
        <v>-4.0837500000000002</v>
      </c>
      <c r="V37" s="16">
        <f>V35</f>
        <v>6.75</v>
      </c>
      <c r="W37" s="16">
        <f t="shared" si="12"/>
        <v>4.0982142857142856</v>
      </c>
      <c r="X37" s="16"/>
      <c r="Y37" s="16">
        <f t="shared" si="28"/>
        <v>-1.2415178571428569</v>
      </c>
      <c r="Z37" s="14"/>
      <c r="AA37" s="18">
        <f t="shared" si="14"/>
        <v>-0.74228316326530619</v>
      </c>
      <c r="AB37" s="18">
        <f t="shared" si="35"/>
        <v>33</v>
      </c>
      <c r="AC37" s="18">
        <f t="shared" si="51"/>
        <v>-16.071428571428573</v>
      </c>
      <c r="AD37" s="14"/>
      <c r="AE37" s="14"/>
      <c r="AF37" s="18">
        <f t="shared" si="18"/>
        <v>-0.8007369614512474</v>
      </c>
      <c r="AG37" s="14"/>
      <c r="AH37" s="18">
        <f t="shared" si="30"/>
        <v>-0.13794642857142858</v>
      </c>
      <c r="AI37" s="14"/>
      <c r="AJ37" s="18">
        <f t="shared" si="19"/>
        <v>-0.13794642857142855</v>
      </c>
      <c r="AK37" s="18">
        <f t="shared" si="43"/>
        <v>-0.13794642857142855</v>
      </c>
      <c r="AL37" s="40">
        <f t="shared" si="44"/>
        <v>0.44999999999999962</v>
      </c>
      <c r="AM37" s="41">
        <f t="shared" si="53"/>
        <v>0.43874999999999964</v>
      </c>
      <c r="AN37" s="41"/>
      <c r="AO37" s="40">
        <f t="shared" si="45"/>
        <v>0.44999999999999984</v>
      </c>
      <c r="AP37" s="35">
        <f t="shared" si="3"/>
        <v>0.31205357142857126</v>
      </c>
      <c r="AQ37" s="45">
        <f t="shared" si="46"/>
        <v>0.5879464285714282</v>
      </c>
      <c r="AR37" s="47">
        <f t="shared" si="20"/>
        <v>0.43874999999999986</v>
      </c>
      <c r="AS37" s="18"/>
      <c r="AT37" s="14">
        <f t="shared" si="47"/>
        <v>0.14594155844155854</v>
      </c>
      <c r="AU37" s="14"/>
      <c r="AV37" s="14"/>
      <c r="AW37" s="14">
        <f t="shared" ref="AW37:AW46" si="54">-0.5-0.5*(1/$C$3^2*($C$3^2-4*O37*$C$3+3*O37^2)+4/$C$3*((-1+4*O37/$C$3-3*O37^2/$C$3^2)*$P$3+(2*O37/$C$3-3*O37^2/$C$3^2)*$P$4)+2/$C$3*((-1+4*O37/$C$3-3*O37^2/$C$3^2)*$Q$3+(2*O37/$C$3-3*O37^2/$C$3^2)*$Q$4))+0.5*(1/$C$3^2*(-2*O37*$C$3+3*O37^2)+4/$C$3*((-1+4*O37/$C$3-3*O37^2/$C$3^2)*$Q$3+(2*O37/$C$3-3*O37^2/$C$3^2)*$Q$4)+2/$C$3*((-1+4*O37/$C$3-3*O37^2/$C$3^2)*$P$3+(2*O37/$C$3-3*O37^2/$C$3^2)*$P$4))</f>
        <v>-0.4642857142857143</v>
      </c>
      <c r="AX37" s="18">
        <f t="shared" si="23"/>
        <v>33</v>
      </c>
      <c r="AY37" s="14">
        <f t="shared" si="49"/>
        <v>3.3970658970658985E-2</v>
      </c>
      <c r="AZ37" s="14"/>
      <c r="BA37" s="14"/>
      <c r="BB37" s="14">
        <f t="shared" si="34"/>
        <v>31.5</v>
      </c>
      <c r="BC37" s="14">
        <f t="shared" si="52"/>
        <v>2.2275046382189249E-2</v>
      </c>
    </row>
    <row r="38" spans="13:55" x14ac:dyDescent="0.25">
      <c r="M38" s="13">
        <v>12</v>
      </c>
      <c r="N38" s="16">
        <f t="shared" si="37"/>
        <v>36</v>
      </c>
      <c r="O38" s="16">
        <f t="shared" si="38"/>
        <v>18</v>
      </c>
      <c r="P38" s="18">
        <f t="shared" si="39"/>
        <v>-13.464935064935066</v>
      </c>
      <c r="Q38" s="18">
        <f t="shared" si="40"/>
        <v>17.392207792207792</v>
      </c>
      <c r="R38" s="14"/>
      <c r="S38" s="18">
        <f t="shared" si="11"/>
        <v>-2.244155844155844</v>
      </c>
      <c r="T38" s="18">
        <f t="shared" si="41"/>
        <v>2.88</v>
      </c>
      <c r="U38" s="18">
        <f t="shared" si="42"/>
        <v>-4.32</v>
      </c>
      <c r="V38" s="16">
        <f>V34</f>
        <v>6</v>
      </c>
      <c r="W38" s="16">
        <f t="shared" si="12"/>
        <v>3.4285714285714279</v>
      </c>
      <c r="X38" s="16"/>
      <c r="Y38" s="16">
        <f t="shared" si="28"/>
        <v>-1.122077922077922</v>
      </c>
      <c r="Z38" s="14"/>
      <c r="AA38" s="18">
        <f t="shared" si="14"/>
        <v>-0.67087198515769964</v>
      </c>
      <c r="AB38" s="18">
        <f t="shared" si="35"/>
        <v>34.5</v>
      </c>
      <c r="AC38" s="18">
        <f t="shared" si="51"/>
        <v>-14.898214285714284</v>
      </c>
      <c r="AD38" s="14"/>
      <c r="AE38" s="14"/>
      <c r="AF38" s="18">
        <f t="shared" si="18"/>
        <v>-0.74228316326530619</v>
      </c>
      <c r="AG38" s="14"/>
      <c r="AH38" s="18">
        <f t="shared" si="30"/>
        <v>-0.12467532467532469</v>
      </c>
      <c r="AI38" s="14"/>
      <c r="AJ38" s="18">
        <f t="shared" si="19"/>
        <v>-0.12467532467532469</v>
      </c>
      <c r="AK38" s="18">
        <f t="shared" si="43"/>
        <v>-0.12467532467532469</v>
      </c>
      <c r="AL38" s="40">
        <f t="shared" si="44"/>
        <v>0.39999999999999963</v>
      </c>
      <c r="AM38" s="41">
        <f t="shared" si="53"/>
        <v>0.37818181818181779</v>
      </c>
      <c r="AN38" s="41"/>
      <c r="AO38" s="40">
        <f t="shared" si="45"/>
        <v>0.39999999999999986</v>
      </c>
      <c r="AP38" s="35">
        <f t="shared" ref="AP38:AP66" si="55">AO38+1/$C$5*(R38+3*P38/$C$5)</f>
        <v>0.27532467532467519</v>
      </c>
      <c r="AQ38" s="45">
        <f t="shared" si="46"/>
        <v>0.52467532467532429</v>
      </c>
      <c r="AR38" s="47">
        <f t="shared" si="20"/>
        <v>0.37818181818181801</v>
      </c>
      <c r="AS38" s="18"/>
      <c r="AT38" s="14">
        <f t="shared" si="47"/>
        <v>0.17142857142857137</v>
      </c>
      <c r="AU38" s="14"/>
      <c r="AV38" s="14"/>
      <c r="AW38" s="14">
        <f t="shared" si="54"/>
        <v>-0.42857142857142855</v>
      </c>
      <c r="AX38" s="18">
        <f t="shared" si="23"/>
        <v>34.5</v>
      </c>
      <c r="AY38" s="14">
        <f t="shared" si="49"/>
        <v>4.3628032020889204E-2</v>
      </c>
      <c r="AZ38" s="14"/>
      <c r="BA38" s="14"/>
      <c r="BB38" s="14">
        <f t="shared" si="34"/>
        <v>33</v>
      </c>
      <c r="BC38" s="14">
        <f t="shared" si="52"/>
        <v>3.3970658970658985E-2</v>
      </c>
    </row>
    <row r="39" spans="13:55" x14ac:dyDescent="0.25">
      <c r="M39" s="13">
        <v>13</v>
      </c>
      <c r="N39" s="16">
        <f t="shared" si="37"/>
        <v>37.5</v>
      </c>
      <c r="O39" s="16">
        <f t="shared" si="38"/>
        <v>19.5</v>
      </c>
      <c r="P39" s="18">
        <f t="shared" si="39"/>
        <v>-11.832954545454545</v>
      </c>
      <c r="Q39" s="18">
        <f t="shared" si="40"/>
        <v>17.417045454545455</v>
      </c>
      <c r="R39" s="14"/>
      <c r="S39" s="18">
        <f t="shared" si="11"/>
        <v>-1.9721590909090907</v>
      </c>
      <c r="T39" s="18">
        <f t="shared" si="41"/>
        <v>2.3887499999999999</v>
      </c>
      <c r="U39" s="18">
        <f t="shared" si="42"/>
        <v>-4.4362500000000002</v>
      </c>
      <c r="V39" s="16">
        <f>V33</f>
        <v>5.25</v>
      </c>
      <c r="W39" s="16">
        <f t="shared" si="12"/>
        <v>2.8124999999999996</v>
      </c>
      <c r="X39" s="16"/>
      <c r="Y39" s="16">
        <f t="shared" si="28"/>
        <v>-0.98607954545454535</v>
      </c>
      <c r="Z39" s="14"/>
      <c r="AA39" s="18">
        <f t="shared" si="14"/>
        <v>-0.58956078643578658</v>
      </c>
      <c r="AB39" s="18">
        <f t="shared" si="35"/>
        <v>36</v>
      </c>
      <c r="AC39" s="18">
        <f t="shared" si="51"/>
        <v>-13.464935064935066</v>
      </c>
      <c r="AD39" s="14"/>
      <c r="AE39" s="14"/>
      <c r="AF39" s="18">
        <f t="shared" si="18"/>
        <v>-0.67087198515769964</v>
      </c>
      <c r="AG39" s="14"/>
      <c r="AH39" s="18">
        <f t="shared" si="30"/>
        <v>-0.10956439393939393</v>
      </c>
      <c r="AI39" s="14"/>
      <c r="AJ39" s="18">
        <f t="shared" si="19"/>
        <v>-0.10956439393939393</v>
      </c>
      <c r="AK39" s="18">
        <f t="shared" si="43"/>
        <v>-0.10956439393939393</v>
      </c>
      <c r="AL39" s="40">
        <f t="shared" si="44"/>
        <v>0.34999999999999964</v>
      </c>
      <c r="AM39" s="41">
        <f t="shared" si="53"/>
        <v>0.31897727272727239</v>
      </c>
      <c r="AN39" s="41"/>
      <c r="AO39" s="40">
        <f t="shared" si="45"/>
        <v>0.34999999999999987</v>
      </c>
      <c r="AP39" s="35">
        <f t="shared" si="55"/>
        <v>0.24043560606060593</v>
      </c>
      <c r="AQ39" s="45">
        <f t="shared" si="46"/>
        <v>0.45956439393939358</v>
      </c>
      <c r="AR39" s="47">
        <f t="shared" si="20"/>
        <v>0.31897727272727261</v>
      </c>
      <c r="AS39" s="18"/>
      <c r="AT39" s="14">
        <f t="shared" si="47"/>
        <v>0.19009740259740263</v>
      </c>
      <c r="AU39" s="14"/>
      <c r="AV39" s="14"/>
      <c r="AW39" s="14">
        <f t="shared" si="54"/>
        <v>-0.39285714285714285</v>
      </c>
      <c r="AX39" s="18">
        <f t="shared" si="23"/>
        <v>36</v>
      </c>
      <c r="AY39" s="14">
        <f t="shared" si="49"/>
        <v>5.1247165532879814E-2</v>
      </c>
      <c r="AZ39" s="14"/>
      <c r="BA39" s="14"/>
      <c r="BB39" s="14">
        <f t="shared" si="34"/>
        <v>34.5</v>
      </c>
      <c r="BC39" s="14">
        <f t="shared" si="52"/>
        <v>4.3628032020889204E-2</v>
      </c>
    </row>
    <row r="40" spans="13:55" x14ac:dyDescent="0.25">
      <c r="M40" s="13">
        <v>14</v>
      </c>
      <c r="N40" s="16">
        <f t="shared" si="37"/>
        <v>39</v>
      </c>
      <c r="O40" s="16">
        <f t="shared" si="38"/>
        <v>21</v>
      </c>
      <c r="P40" s="18">
        <f t="shared" si="39"/>
        <v>-10.063636363636364</v>
      </c>
      <c r="Q40" s="18">
        <f t="shared" si="40"/>
        <v>16.936363636363637</v>
      </c>
      <c r="R40" s="14"/>
      <c r="S40" s="18">
        <f t="shared" si="11"/>
        <v>-1.6772727272727272</v>
      </c>
      <c r="T40" s="18">
        <f t="shared" si="41"/>
        <v>1.89</v>
      </c>
      <c r="U40" s="18">
        <f t="shared" si="42"/>
        <v>-4.41</v>
      </c>
      <c r="V40" s="16">
        <f>V32</f>
        <v>4.5</v>
      </c>
      <c r="W40" s="16">
        <f t="shared" si="12"/>
        <v>2.25</v>
      </c>
      <c r="X40" s="16"/>
      <c r="Y40" s="16">
        <f t="shared" si="28"/>
        <v>-0.83863636363636362</v>
      </c>
      <c r="Z40" s="14"/>
      <c r="AA40" s="18">
        <f t="shared" si="14"/>
        <v>-0.50140692640692652</v>
      </c>
      <c r="AB40" s="18">
        <f t="shared" si="35"/>
        <v>37.5</v>
      </c>
      <c r="AC40" s="18">
        <f t="shared" si="51"/>
        <v>-11.832954545454545</v>
      </c>
      <c r="AD40" s="14"/>
      <c r="AE40" s="14"/>
      <c r="AF40" s="18">
        <f t="shared" si="18"/>
        <v>-0.58956078643578658</v>
      </c>
      <c r="AG40" s="14"/>
      <c r="AH40" s="18">
        <f t="shared" si="30"/>
        <v>-9.3181818181818199E-2</v>
      </c>
      <c r="AI40" s="14"/>
      <c r="AJ40" s="18">
        <f t="shared" si="19"/>
        <v>-9.3181818181818185E-2</v>
      </c>
      <c r="AK40" s="18">
        <f t="shared" si="43"/>
        <v>-9.3181818181818185E-2</v>
      </c>
      <c r="AL40" s="40">
        <f t="shared" si="44"/>
        <v>0.29999999999999966</v>
      </c>
      <c r="AM40" s="41">
        <f t="shared" si="53"/>
        <v>0.26181818181818145</v>
      </c>
      <c r="AN40" s="41"/>
      <c r="AO40" s="40">
        <f t="shared" si="45"/>
        <v>0.29999999999999988</v>
      </c>
      <c r="AP40" s="35">
        <f t="shared" si="55"/>
        <v>0.20681818181818168</v>
      </c>
      <c r="AQ40" s="45">
        <f t="shared" si="46"/>
        <v>0.39318181818181785</v>
      </c>
      <c r="AR40" s="47">
        <f t="shared" si="20"/>
        <v>0.26181818181818167</v>
      </c>
      <c r="AS40" s="18"/>
      <c r="AT40" s="14">
        <f t="shared" si="47"/>
        <v>0.20194805194805188</v>
      </c>
      <c r="AU40" s="14"/>
      <c r="AV40" s="14"/>
      <c r="AW40" s="14">
        <f t="shared" si="54"/>
        <v>-0.35714285714285715</v>
      </c>
      <c r="AX40" s="18">
        <f t="shared" si="23"/>
        <v>37.5</v>
      </c>
      <c r="AY40" s="14">
        <f t="shared" si="49"/>
        <v>5.682805950663096E-2</v>
      </c>
      <c r="AZ40" s="14"/>
      <c r="BA40" s="14"/>
      <c r="BB40" s="14">
        <f t="shared" si="34"/>
        <v>36</v>
      </c>
      <c r="BC40" s="14">
        <f t="shared" si="52"/>
        <v>5.1247165532879814E-2</v>
      </c>
    </row>
    <row r="41" spans="13:55" x14ac:dyDescent="0.25">
      <c r="M41" s="13">
        <v>15</v>
      </c>
      <c r="N41" s="16">
        <f t="shared" si="37"/>
        <v>40.5</v>
      </c>
      <c r="O41" s="16">
        <f t="shared" si="38"/>
        <v>22.5</v>
      </c>
      <c r="P41" s="18">
        <f t="shared" si="39"/>
        <v>-8.2183441558441555</v>
      </c>
      <c r="Q41" s="18">
        <f t="shared" si="40"/>
        <v>15.888798701298702</v>
      </c>
      <c r="R41" s="14"/>
      <c r="S41" s="18">
        <f t="shared" si="11"/>
        <v>-1.3697240259740258</v>
      </c>
      <c r="T41" s="18">
        <f t="shared" si="41"/>
        <v>1.40625</v>
      </c>
      <c r="U41" s="18">
        <f t="shared" si="42"/>
        <v>-4.21875</v>
      </c>
      <c r="V41" s="16">
        <f>V31</f>
        <v>3.75</v>
      </c>
      <c r="W41" s="16">
        <f t="shared" si="12"/>
        <v>1.7410714285714284</v>
      </c>
      <c r="X41" s="16"/>
      <c r="Y41" s="16">
        <f t="shared" si="28"/>
        <v>-0.68486201298701288</v>
      </c>
      <c r="Z41" s="14"/>
      <c r="AA41" s="18">
        <f t="shared" si="14"/>
        <v>-0.40946776437847876</v>
      </c>
      <c r="AB41" s="18">
        <f t="shared" si="35"/>
        <v>39</v>
      </c>
      <c r="AC41" s="18">
        <f t="shared" si="51"/>
        <v>-10.063636363636364</v>
      </c>
      <c r="AD41" s="14"/>
      <c r="AE41" s="14"/>
      <c r="AF41" s="18">
        <f t="shared" si="18"/>
        <v>-0.50140692640692652</v>
      </c>
      <c r="AG41" s="14"/>
      <c r="AH41" s="18">
        <f t="shared" si="30"/>
        <v>-7.6095779220779203E-2</v>
      </c>
      <c r="AI41" s="14"/>
      <c r="AJ41" s="18">
        <f t="shared" si="19"/>
        <v>-7.6095779220779203E-2</v>
      </c>
      <c r="AK41" s="18">
        <f t="shared" si="43"/>
        <v>-7.6095779220779203E-2</v>
      </c>
      <c r="AL41" s="40">
        <f t="shared" si="44"/>
        <v>0.24999999999999967</v>
      </c>
      <c r="AM41" s="41">
        <f t="shared" si="53"/>
        <v>0.20738636363636331</v>
      </c>
      <c r="AN41" s="41"/>
      <c r="AO41" s="40">
        <f t="shared" si="45"/>
        <v>0.24999999999999989</v>
      </c>
      <c r="AP41" s="35">
        <f t="shared" si="55"/>
        <v>0.17390422077922069</v>
      </c>
      <c r="AQ41" s="45">
        <f t="shared" si="46"/>
        <v>0.32609577922077887</v>
      </c>
      <c r="AR41" s="47">
        <f t="shared" si="20"/>
        <v>0.20738636363636354</v>
      </c>
      <c r="AS41" s="18"/>
      <c r="AT41" s="14">
        <f t="shared" si="47"/>
        <v>0.20698051948051946</v>
      </c>
      <c r="AU41" s="14"/>
      <c r="AV41" s="14"/>
      <c r="AW41" s="14">
        <f t="shared" si="54"/>
        <v>-0.32142857142857145</v>
      </c>
      <c r="AX41" s="18">
        <f t="shared" si="23"/>
        <v>39</v>
      </c>
      <c r="AY41" s="14">
        <f t="shared" si="49"/>
        <v>6.0370713942142502E-2</v>
      </c>
      <c r="AZ41" s="14"/>
      <c r="BA41" s="14"/>
      <c r="BB41" s="14">
        <f t="shared" si="34"/>
        <v>37.5</v>
      </c>
      <c r="BC41" s="14">
        <f t="shared" si="52"/>
        <v>5.682805950663096E-2</v>
      </c>
    </row>
    <row r="42" spans="13:55" x14ac:dyDescent="0.25">
      <c r="M42" s="13">
        <v>16</v>
      </c>
      <c r="N42" s="16">
        <f t="shared" si="37"/>
        <v>42</v>
      </c>
      <c r="O42" s="16">
        <f t="shared" si="38"/>
        <v>24</v>
      </c>
      <c r="P42" s="18">
        <f t="shared" si="39"/>
        <v>-6.358441558441557</v>
      </c>
      <c r="Q42" s="18">
        <f t="shared" si="40"/>
        <v>14.212987012987012</v>
      </c>
      <c r="R42" s="14"/>
      <c r="S42" s="18">
        <f t="shared" si="11"/>
        <v>-1.0597402597402594</v>
      </c>
      <c r="T42" s="18">
        <f t="shared" si="41"/>
        <v>0.96</v>
      </c>
      <c r="U42" s="18">
        <f t="shared" si="42"/>
        <v>-3.84</v>
      </c>
      <c r="V42" s="16">
        <f>V30</f>
        <v>3</v>
      </c>
      <c r="W42" s="16">
        <f t="shared" si="12"/>
        <v>1.2857142857142856</v>
      </c>
      <c r="X42" s="16"/>
      <c r="Y42" s="16">
        <f t="shared" si="28"/>
        <v>-0.52987012987012971</v>
      </c>
      <c r="Z42" s="14"/>
      <c r="AA42" s="18">
        <f t="shared" si="14"/>
        <v>-0.31680065965780252</v>
      </c>
      <c r="AB42" s="18">
        <f t="shared" si="35"/>
        <v>40.5</v>
      </c>
      <c r="AC42" s="18">
        <f t="shared" si="51"/>
        <v>-8.2183441558441555</v>
      </c>
      <c r="AD42" s="14"/>
      <c r="AE42" s="14"/>
      <c r="AF42" s="18">
        <f t="shared" si="18"/>
        <v>-0.40946776437847876</v>
      </c>
      <c r="AG42" s="14"/>
      <c r="AH42" s="18">
        <f t="shared" si="30"/>
        <v>-5.8874458874458871E-2</v>
      </c>
      <c r="AI42" s="14"/>
      <c r="AJ42" s="18">
        <f t="shared" si="19"/>
        <v>-5.8874458874458864E-2</v>
      </c>
      <c r="AK42" s="18">
        <f t="shared" si="43"/>
        <v>-5.8874458874458864E-2</v>
      </c>
      <c r="AL42" s="40">
        <f t="shared" si="44"/>
        <v>0.19999999999999968</v>
      </c>
      <c r="AM42" s="41">
        <f t="shared" si="53"/>
        <v>0.15636363636363604</v>
      </c>
      <c r="AN42" s="41"/>
      <c r="AO42" s="40">
        <f t="shared" si="45"/>
        <v>0.1999999999999999</v>
      </c>
      <c r="AP42" s="35">
        <f t="shared" si="55"/>
        <v>0.14112554112554104</v>
      </c>
      <c r="AQ42" s="45">
        <f t="shared" si="46"/>
        <v>0.25887445887445854</v>
      </c>
      <c r="AR42" s="47">
        <f t="shared" si="20"/>
        <v>0.15636363636363626</v>
      </c>
      <c r="AS42" s="18"/>
      <c r="AT42" s="14">
        <f t="shared" si="47"/>
        <v>0.20519480519480529</v>
      </c>
      <c r="AU42" s="14"/>
      <c r="AV42" s="14"/>
      <c r="AW42" s="14">
        <f t="shared" si="54"/>
        <v>-0.2857142857142857</v>
      </c>
      <c r="AX42" s="18">
        <f t="shared" si="23"/>
        <v>40.5</v>
      </c>
      <c r="AY42" s="14">
        <f t="shared" si="49"/>
        <v>6.1875128839414567E-2</v>
      </c>
      <c r="AZ42" s="14"/>
      <c r="BA42" s="14"/>
      <c r="BB42" s="14">
        <f t="shared" si="34"/>
        <v>39</v>
      </c>
      <c r="BC42" s="14">
        <f t="shared" si="52"/>
        <v>6.0370713942142502E-2</v>
      </c>
    </row>
    <row r="43" spans="13:55" x14ac:dyDescent="0.25">
      <c r="M43" s="13">
        <v>17</v>
      </c>
      <c r="N43" s="16">
        <f t="shared" si="37"/>
        <v>43.5</v>
      </c>
      <c r="O43" s="16">
        <f t="shared" si="38"/>
        <v>25.5</v>
      </c>
      <c r="P43" s="18">
        <f t="shared" si="39"/>
        <v>-4.5452922077922082</v>
      </c>
      <c r="Q43" s="18">
        <f t="shared" si="40"/>
        <v>11.847564935064934</v>
      </c>
      <c r="R43" s="14"/>
      <c r="S43" s="18">
        <f t="shared" si="11"/>
        <v>-0.75754870129870133</v>
      </c>
      <c r="T43" s="18">
        <f t="shared" si="41"/>
        <v>0.57374999999999998</v>
      </c>
      <c r="U43" s="18">
        <f t="shared" si="42"/>
        <v>-3.2512500000000002</v>
      </c>
      <c r="V43" s="16">
        <f>V29</f>
        <v>2.25</v>
      </c>
      <c r="W43" s="16">
        <f t="shared" si="12"/>
        <v>0.88392857142857129</v>
      </c>
      <c r="X43" s="16"/>
      <c r="Y43" s="16">
        <f t="shared" si="28"/>
        <v>-0.37877435064935067</v>
      </c>
      <c r="Z43" s="14"/>
      <c r="AA43" s="18">
        <f t="shared" si="14"/>
        <v>-0.22646297155225734</v>
      </c>
      <c r="AB43" s="18">
        <f t="shared" si="35"/>
        <v>42</v>
      </c>
      <c r="AC43" s="18">
        <f t="shared" si="51"/>
        <v>-6.358441558441557</v>
      </c>
      <c r="AD43" s="14"/>
      <c r="AE43" s="14"/>
      <c r="AF43" s="18">
        <f t="shared" si="18"/>
        <v>-0.31680065965780252</v>
      </c>
      <c r="AG43" s="14"/>
      <c r="AH43" s="18">
        <f t="shared" si="30"/>
        <v>-4.2086038961038963E-2</v>
      </c>
      <c r="AI43" s="14"/>
      <c r="AJ43" s="18">
        <f t="shared" si="19"/>
        <v>-4.2086038961038963E-2</v>
      </c>
      <c r="AK43" s="18">
        <f t="shared" si="43"/>
        <v>-4.2086038961038963E-2</v>
      </c>
      <c r="AL43" s="40">
        <f>AL42-1/20</f>
        <v>0.14999999999999969</v>
      </c>
      <c r="AM43" s="41">
        <f t="shared" si="53"/>
        <v>0.10943181818181785</v>
      </c>
      <c r="AN43" s="41"/>
      <c r="AO43" s="40">
        <f t="shared" si="45"/>
        <v>0.14999999999999991</v>
      </c>
      <c r="AP43" s="35">
        <f t="shared" si="55"/>
        <v>0.10791396103896095</v>
      </c>
      <c r="AQ43" s="45">
        <f t="shared" si="46"/>
        <v>0.19208603896103865</v>
      </c>
      <c r="AR43" s="47">
        <f t="shared" si="20"/>
        <v>0.10943181818181807</v>
      </c>
      <c r="AS43" s="18"/>
      <c r="AT43" s="14">
        <f t="shared" si="47"/>
        <v>0.19659090909090904</v>
      </c>
      <c r="AU43" s="14"/>
      <c r="AV43" s="14"/>
      <c r="AW43" s="14">
        <f t="shared" si="54"/>
        <v>-0.24999999999999997</v>
      </c>
      <c r="AX43" s="18">
        <f t="shared" si="23"/>
        <v>42</v>
      </c>
      <c r="AY43" s="14">
        <f t="shared" si="49"/>
        <v>6.1341304198447098E-2</v>
      </c>
      <c r="AZ43" s="14"/>
      <c r="BA43" s="14"/>
      <c r="BB43" s="14">
        <f t="shared" si="34"/>
        <v>40.5</v>
      </c>
      <c r="BC43" s="14">
        <f t="shared" si="52"/>
        <v>6.1875128839414567E-2</v>
      </c>
    </row>
    <row r="44" spans="13:55" x14ac:dyDescent="0.25">
      <c r="M44" s="13">
        <v>18</v>
      </c>
      <c r="N44" s="16">
        <f t="shared" si="37"/>
        <v>45</v>
      </c>
      <c r="O44" s="16">
        <f t="shared" si="38"/>
        <v>27</v>
      </c>
      <c r="P44" s="18">
        <f t="shared" si="39"/>
        <v>-2.8402597402597394</v>
      </c>
      <c r="Q44" s="18">
        <f t="shared" si="40"/>
        <v>8.73116883116883</v>
      </c>
      <c r="R44" s="14"/>
      <c r="S44" s="18">
        <f t="shared" si="11"/>
        <v>-0.47337662337662323</v>
      </c>
      <c r="T44" s="18">
        <f t="shared" si="41"/>
        <v>0.27</v>
      </c>
      <c r="U44" s="18">
        <f t="shared" si="42"/>
        <v>-2.4300000000000002</v>
      </c>
      <c r="V44" s="16">
        <f>V28</f>
        <v>1.5</v>
      </c>
      <c r="W44" s="16">
        <f t="shared" si="12"/>
        <v>0.53571428571428559</v>
      </c>
      <c r="X44" s="16"/>
      <c r="Y44" s="16">
        <f t="shared" si="28"/>
        <v>-0.23668831168831161</v>
      </c>
      <c r="Z44" s="14"/>
      <c r="AA44" s="18">
        <f t="shared" si="14"/>
        <v>-0.14151205936920222</v>
      </c>
      <c r="AB44" s="18">
        <f t="shared" si="35"/>
        <v>43.5</v>
      </c>
      <c r="AC44" s="18">
        <f t="shared" si="51"/>
        <v>-4.5452922077922082</v>
      </c>
      <c r="AD44" s="14"/>
      <c r="AE44" s="14"/>
      <c r="AF44" s="18">
        <f t="shared" si="18"/>
        <v>-0.22646297155225734</v>
      </c>
      <c r="AG44" s="14"/>
      <c r="AH44" s="18">
        <f t="shared" si="30"/>
        <v>-2.629870129870129E-2</v>
      </c>
      <c r="AI44" s="14"/>
      <c r="AJ44" s="18">
        <f t="shared" si="19"/>
        <v>-2.629870129870129E-2</v>
      </c>
      <c r="AK44" s="18">
        <f t="shared" si="43"/>
        <v>-2.629870129870129E-2</v>
      </c>
      <c r="AL44" s="40">
        <f t="shared" si="44"/>
        <v>9.9999999999999686E-2</v>
      </c>
      <c r="AM44" s="41">
        <f t="shared" si="53"/>
        <v>6.7272727272726957E-2</v>
      </c>
      <c r="AN44" s="41"/>
      <c r="AO44" s="40">
        <f t="shared" si="45"/>
        <v>9.9999999999999908E-2</v>
      </c>
      <c r="AP44" s="35">
        <f t="shared" si="55"/>
        <v>7.3701298701298615E-2</v>
      </c>
      <c r="AQ44" s="45">
        <f t="shared" si="46"/>
        <v>0.12629870129870097</v>
      </c>
      <c r="AR44" s="47">
        <f t="shared" si="20"/>
        <v>6.7272727272727179E-2</v>
      </c>
      <c r="AS44" s="18"/>
      <c r="AT44" s="14">
        <f t="shared" si="47"/>
        <v>0.18116883116883115</v>
      </c>
      <c r="AU44" s="14"/>
      <c r="AV44" s="14"/>
      <c r="AW44" s="14">
        <f t="shared" si="54"/>
        <v>-0.2142857142857143</v>
      </c>
      <c r="AX44" s="18">
        <f t="shared" si="23"/>
        <v>43.5</v>
      </c>
      <c r="AY44" s="14">
        <f t="shared" si="49"/>
        <v>5.876924001924002E-2</v>
      </c>
      <c r="AZ44" s="14"/>
      <c r="BA44" s="14"/>
      <c r="BB44" s="14">
        <f t="shared" si="34"/>
        <v>42</v>
      </c>
      <c r="BC44" s="14">
        <f t="shared" si="52"/>
        <v>6.1341304198447098E-2</v>
      </c>
    </row>
    <row r="45" spans="13:55" x14ac:dyDescent="0.25">
      <c r="M45" s="13">
        <v>19</v>
      </c>
      <c r="N45" s="16">
        <f t="shared" si="37"/>
        <v>46.5</v>
      </c>
      <c r="O45" s="16">
        <f t="shared" si="38"/>
        <v>28.5</v>
      </c>
      <c r="P45" s="18">
        <f t="shared" si="39"/>
        <v>-1.3047077922077934</v>
      </c>
      <c r="Q45" s="18">
        <f t="shared" si="40"/>
        <v>4.8024350649350689</v>
      </c>
      <c r="R45" s="14"/>
      <c r="S45" s="18">
        <f t="shared" si="11"/>
        <v>-0.2174512987012989</v>
      </c>
      <c r="T45" s="18">
        <f t="shared" si="41"/>
        <v>7.1249999999999994E-2</v>
      </c>
      <c r="U45" s="18">
        <f t="shared" si="42"/>
        <v>-1.35375</v>
      </c>
      <c r="V45" s="16">
        <f>V27</f>
        <v>0.75</v>
      </c>
      <c r="W45" s="16">
        <f t="shared" si="12"/>
        <v>0.24107142857142871</v>
      </c>
      <c r="X45" s="16"/>
      <c r="Y45" s="16">
        <f t="shared" si="28"/>
        <v>-0.10872564935064945</v>
      </c>
      <c r="Z45" s="14"/>
      <c r="AA45" s="18">
        <f t="shared" si="14"/>
        <v>-6.5005282415996776E-2</v>
      </c>
      <c r="AB45" s="18">
        <f t="shared" si="35"/>
        <v>45</v>
      </c>
      <c r="AC45" s="18">
        <f t="shared" si="51"/>
        <v>-2.8402597402597394</v>
      </c>
      <c r="AD45" s="14"/>
      <c r="AE45" s="14"/>
      <c r="AF45" s="18">
        <f t="shared" si="18"/>
        <v>-0.14151205936920222</v>
      </c>
      <c r="AG45" s="14"/>
      <c r="AH45" s="18">
        <f t="shared" si="30"/>
        <v>-1.2080627705627718E-2</v>
      </c>
      <c r="AI45" s="14"/>
      <c r="AJ45" s="18">
        <f t="shared" si="19"/>
        <v>-1.2080627705627718E-2</v>
      </c>
      <c r="AK45" s="18">
        <f t="shared" si="43"/>
        <v>-1.2080627705627718E-2</v>
      </c>
      <c r="AL45" s="40">
        <f t="shared" si="44"/>
        <v>4.9999999999999684E-2</v>
      </c>
      <c r="AM45" s="41">
        <f t="shared" si="53"/>
        <v>3.0568181818181515E-2</v>
      </c>
      <c r="AN45" s="41"/>
      <c r="AO45" s="40">
        <f t="shared" si="45"/>
        <v>4.9999999999999906E-2</v>
      </c>
      <c r="AP45" s="35">
        <f t="shared" si="55"/>
        <v>3.7919372294372186E-2</v>
      </c>
      <c r="AQ45" s="45">
        <f t="shared" si="46"/>
        <v>6.2080627705627403E-2</v>
      </c>
      <c r="AR45" s="47">
        <f t="shared" si="20"/>
        <v>3.0568181818181737E-2</v>
      </c>
      <c r="AS45" s="18"/>
      <c r="AT45" s="14">
        <f t="shared" si="47"/>
        <v>0.15892857142857131</v>
      </c>
      <c r="AU45" s="14"/>
      <c r="AV45" s="14"/>
      <c r="AW45" s="14">
        <f t="shared" si="54"/>
        <v>-0.17857142857142855</v>
      </c>
      <c r="AX45" s="18">
        <f t="shared" si="23"/>
        <v>45</v>
      </c>
      <c r="AY45" s="14">
        <f t="shared" si="49"/>
        <v>5.4158936301793456E-2</v>
      </c>
      <c r="AZ45" s="14"/>
      <c r="BA45" s="14"/>
      <c r="BB45" s="14">
        <f t="shared" si="34"/>
        <v>43.5</v>
      </c>
      <c r="BC45" s="14">
        <f t="shared" si="52"/>
        <v>5.876924001924002E-2</v>
      </c>
    </row>
    <row r="46" spans="13:55" x14ac:dyDescent="0.25">
      <c r="M46" s="13">
        <v>20</v>
      </c>
      <c r="N46" s="16">
        <f t="shared" si="37"/>
        <v>48</v>
      </c>
      <c r="O46" s="16">
        <f t="shared" si="38"/>
        <v>30</v>
      </c>
      <c r="P46" s="18">
        <f t="shared" si="39"/>
        <v>0</v>
      </c>
      <c r="Q46" s="18">
        <f t="shared" si="40"/>
        <v>0</v>
      </c>
      <c r="R46" s="14"/>
      <c r="S46" s="18">
        <f t="shared" si="11"/>
        <v>0</v>
      </c>
      <c r="T46" s="13">
        <v>0</v>
      </c>
      <c r="U46" s="13">
        <v>0</v>
      </c>
      <c r="V46" s="16">
        <v>0</v>
      </c>
      <c r="W46" s="16">
        <f t="shared" si="12"/>
        <v>0</v>
      </c>
      <c r="X46" s="16"/>
      <c r="Y46" s="16">
        <f t="shared" si="28"/>
        <v>0</v>
      </c>
      <c r="Z46" s="14"/>
      <c r="AA46" s="18">
        <f t="shared" si="14"/>
        <v>0</v>
      </c>
      <c r="AB46" s="18">
        <f t="shared" si="35"/>
        <v>46.5</v>
      </c>
      <c r="AC46" s="18">
        <f t="shared" si="51"/>
        <v>-1.3047077922077934</v>
      </c>
      <c r="AD46" s="14"/>
      <c r="AE46" s="14"/>
      <c r="AF46" s="18">
        <f t="shared" si="18"/>
        <v>-6.5005282415996776E-2</v>
      </c>
      <c r="AG46" s="14"/>
      <c r="AH46" s="18">
        <v>0</v>
      </c>
      <c r="AI46" s="14"/>
      <c r="AJ46" s="18">
        <f t="shared" si="19"/>
        <v>0</v>
      </c>
      <c r="AK46" s="18">
        <f t="shared" si="43"/>
        <v>0</v>
      </c>
      <c r="AL46" s="40">
        <v>0</v>
      </c>
      <c r="AM46" s="41">
        <f t="shared" si="53"/>
        <v>0</v>
      </c>
      <c r="AN46" s="41"/>
      <c r="AO46" s="40">
        <v>0</v>
      </c>
      <c r="AP46" s="35">
        <f t="shared" si="55"/>
        <v>0</v>
      </c>
      <c r="AQ46" s="45">
        <f t="shared" si="46"/>
        <v>0</v>
      </c>
      <c r="AR46" s="47">
        <f t="shared" si="20"/>
        <v>0</v>
      </c>
      <c r="AS46" s="18"/>
      <c r="AT46" s="14">
        <f t="shared" si="47"/>
        <v>0.12987012987012986</v>
      </c>
      <c r="AU46" s="14"/>
      <c r="AV46" s="14"/>
      <c r="AW46" s="14">
        <f t="shared" si="54"/>
        <v>-0.14285714285714279</v>
      </c>
      <c r="AX46" s="18">
        <f t="shared" si="23"/>
        <v>46.5</v>
      </c>
      <c r="AY46" s="14">
        <f t="shared" si="49"/>
        <v>4.7510393046107303E-2</v>
      </c>
      <c r="AZ46" s="14"/>
      <c r="BA46" s="14"/>
      <c r="BB46" s="14">
        <f t="shared" si="34"/>
        <v>45</v>
      </c>
      <c r="BC46" s="14">
        <f t="shared" si="52"/>
        <v>5.4158936301793456E-2</v>
      </c>
    </row>
    <row r="47" spans="13:55" x14ac:dyDescent="0.25">
      <c r="M47" s="13">
        <v>1</v>
      </c>
      <c r="N47" s="16">
        <f t="shared" ref="N47:N66" si="56">N46+$C$5/20</f>
        <v>48.9</v>
      </c>
      <c r="O47" s="16">
        <f>N47-$N$46</f>
        <v>0.89999999999999858</v>
      </c>
      <c r="P47" s="18">
        <f>-(O47/$C$5)*(1-O47/$C$5)*(2-O47/$C$5)*$C$5/2*$P$4</f>
        <v>0.64957792207792098</v>
      </c>
      <c r="Q47" s="18">
        <f>-(O47/$C$5)*(1-O47/$C$5)*(2-O47/$C$5)*$C$5/2*$Q$4</f>
        <v>-2.9231006493506451</v>
      </c>
      <c r="R47" s="14"/>
      <c r="S47" s="18">
        <f t="shared" si="11"/>
        <v>0.10826298701298682</v>
      </c>
      <c r="T47" s="14"/>
      <c r="U47" s="14"/>
      <c r="V47" s="14"/>
      <c r="W47" s="16">
        <f t="shared" si="12"/>
        <v>-0.11908928571428554</v>
      </c>
      <c r="X47" s="16"/>
      <c r="Y47" s="16">
        <f t="shared" si="28"/>
        <v>5.4131493506493412E-2</v>
      </c>
      <c r="Z47" s="14"/>
      <c r="AA47" s="18">
        <f t="shared" si="14"/>
        <v>3.2364332096474907E-2</v>
      </c>
      <c r="AB47" s="18">
        <f t="shared" si="35"/>
        <v>48</v>
      </c>
      <c r="AC47" s="18">
        <f t="shared" si="51"/>
        <v>0</v>
      </c>
      <c r="AD47" s="14"/>
      <c r="AE47" s="14"/>
      <c r="AF47" s="18">
        <f t="shared" si="18"/>
        <v>0</v>
      </c>
      <c r="AG47" s="14"/>
      <c r="AH47" s="18">
        <f t="shared" ref="AH47:AH66" si="57">AG47+R47/$C$5+3*P47/$C$5/$C$5</f>
        <v>6.0146103896103788E-3</v>
      </c>
      <c r="AI47" s="14"/>
      <c r="AJ47" s="18">
        <f t="shared" si="19"/>
        <v>6.0146103896103788E-3</v>
      </c>
      <c r="AK47" s="18">
        <f t="shared" si="43"/>
        <v>6.0146103896103788E-3</v>
      </c>
      <c r="AM47" s="41">
        <f t="shared" si="53"/>
        <v>-1.5156818181818164E-2</v>
      </c>
      <c r="AN47" s="41"/>
      <c r="AP47" s="35">
        <f t="shared" si="55"/>
        <v>6.0146103896103788E-3</v>
      </c>
      <c r="AQ47" s="45">
        <f>(-AJ47)+AM47</f>
        <v>-2.1171428571428542E-2</v>
      </c>
      <c r="AR47" s="47">
        <f t="shared" si="20"/>
        <v>-1.5156818181818164E-2</v>
      </c>
      <c r="AS47" s="18"/>
      <c r="AT47" s="14">
        <f>3/$C$5*(-1+3*O47/$C$5-3*O47^2/2/$C$5^2)*$P$4</f>
        <v>0.11087662337662339</v>
      </c>
      <c r="AU47" s="14"/>
      <c r="AV47" s="14"/>
      <c r="AW47" s="14">
        <f>-1/$C$3*(-1+3*O47/$C$5-3*O47^2/2/$C$5^2)*$P$4+1/$C$3*(-1+3*O47/$C$5-3*O47^2/2/$C$5^2)*$Q$4</f>
        <v>-0.12196428571428575</v>
      </c>
      <c r="AX47" s="18">
        <f t="shared" si="23"/>
        <v>48</v>
      </c>
      <c r="AY47" s="14">
        <f t="shared" si="49"/>
        <v>3.8823610252181687E-2</v>
      </c>
      <c r="AZ47" s="14"/>
      <c r="BA47" s="14"/>
      <c r="BB47" s="14">
        <f t="shared" si="34"/>
        <v>46.5</v>
      </c>
      <c r="BC47" s="14">
        <f t="shared" si="52"/>
        <v>4.7510393046107303E-2</v>
      </c>
    </row>
    <row r="48" spans="13:55" x14ac:dyDescent="0.25">
      <c r="M48" s="13">
        <v>2</v>
      </c>
      <c r="N48" s="16">
        <f t="shared" si="56"/>
        <v>49.8</v>
      </c>
      <c r="O48" s="16">
        <f t="shared" ref="O48:O66" si="58">N48-$N$46</f>
        <v>1.7999999999999972</v>
      </c>
      <c r="P48" s="18">
        <f t="shared" ref="P48:P66" si="59">-(O48/$C$5)*(1-O48/$C$5)*(2-O48/$C$5)*$C$5/2*$P$4</f>
        <v>1.1992207792207774</v>
      </c>
      <c r="Q48" s="18">
        <f t="shared" ref="Q48:Q66" si="60">-(O48/$C$5)*(1-O48/$C$5)*(2-O48/$C$5)*$C$5/2*$Q$4</f>
        <v>-5.3964935064934991</v>
      </c>
      <c r="R48" s="14"/>
      <c r="S48" s="18">
        <f t="shared" si="11"/>
        <v>0.19987012987012956</v>
      </c>
      <c r="T48" s="14"/>
      <c r="U48" s="14"/>
      <c r="V48" s="14"/>
      <c r="W48" s="16">
        <f t="shared" si="12"/>
        <v>-0.21985714285714258</v>
      </c>
      <c r="X48" s="16"/>
      <c r="Y48" s="16">
        <f t="shared" si="28"/>
        <v>9.993506493506478E-2</v>
      </c>
      <c r="Z48" s="14"/>
      <c r="AA48" s="18">
        <f t="shared" si="14"/>
        <v>5.9749536178107528E-2</v>
      </c>
      <c r="AB48" s="18">
        <f t="shared" si="35"/>
        <v>48.9</v>
      </c>
      <c r="AC48" s="18">
        <f t="shared" si="51"/>
        <v>0.64957792207792098</v>
      </c>
      <c r="AD48" s="14"/>
      <c r="AE48" s="14"/>
      <c r="AF48" s="18">
        <f t="shared" si="18"/>
        <v>3.2364332096474907E-2</v>
      </c>
      <c r="AG48" s="14"/>
      <c r="AH48" s="18">
        <f t="shared" si="57"/>
        <v>1.1103896103896088E-2</v>
      </c>
      <c r="AI48" s="14"/>
      <c r="AJ48" s="18">
        <f t="shared" si="19"/>
        <v>1.1103896103896088E-2</v>
      </c>
      <c r="AK48" s="18">
        <f t="shared" si="43"/>
        <v>1.1103896103896088E-2</v>
      </c>
      <c r="AM48" s="41">
        <f t="shared" si="53"/>
        <v>-2.7981818181818146E-2</v>
      </c>
      <c r="AN48" s="41"/>
      <c r="AP48" s="35">
        <f t="shared" si="55"/>
        <v>1.1103896103896088E-2</v>
      </c>
      <c r="AQ48" s="45">
        <f t="shared" ref="AQ48:AQ66" si="61">(-AJ48)+AM48</f>
        <v>-3.9085714285714238E-2</v>
      </c>
      <c r="AR48" s="47">
        <f t="shared" si="20"/>
        <v>-2.7981818181818146E-2</v>
      </c>
      <c r="AS48" s="18"/>
      <c r="AT48" s="14">
        <f t="shared" ref="AT48:AT66" si="62">3/$C$5*(-1+3*O48/$C$5-3*O48^2/2/$C$5^2)*$P$4</f>
        <v>9.2857142857142888E-2</v>
      </c>
      <c r="AU48" s="14"/>
      <c r="AV48" s="14"/>
      <c r="AW48" s="14">
        <f t="shared" ref="AW48:AW66" si="63">-1/$C$3*(-1+3*O48/$C$5-3*O48^2/2/$C$5^2)*$P$4+1/$C$3*(-1+3*O48/$C$5-3*O48^2/2/$C$5^2)*$Q$4</f>
        <v>-0.10214285714285717</v>
      </c>
      <c r="AX48" s="18">
        <f t="shared" si="23"/>
        <v>48.9</v>
      </c>
      <c r="AY48" s="14">
        <f>3*$Z$4/$C$5^2*((-1+3*O47/$C$5-3*O47^2/2/$C$5^2)*$P$4)</f>
        <v>3.3145657252800123E-2</v>
      </c>
      <c r="AZ48" s="14"/>
      <c r="BA48" s="14"/>
      <c r="BB48" s="14">
        <f t="shared" si="34"/>
        <v>48</v>
      </c>
      <c r="BC48" s="14">
        <f t="shared" si="52"/>
        <v>3.8823610252181687E-2</v>
      </c>
    </row>
    <row r="49" spans="13:55" x14ac:dyDescent="0.25">
      <c r="M49" s="13">
        <v>3</v>
      </c>
      <c r="N49" s="16">
        <f t="shared" si="56"/>
        <v>50.699999999999996</v>
      </c>
      <c r="O49" s="16">
        <f t="shared" si="58"/>
        <v>2.6999999999999957</v>
      </c>
      <c r="P49" s="18">
        <f t="shared" si="59"/>
        <v>1.6541883116883096</v>
      </c>
      <c r="Q49" s="18">
        <f t="shared" si="60"/>
        <v>-7.4438474025973935</v>
      </c>
      <c r="R49" s="14"/>
      <c r="S49" s="18">
        <f t="shared" si="11"/>
        <v>0.27569805194805158</v>
      </c>
      <c r="T49" s="14"/>
      <c r="U49" s="14"/>
      <c r="V49" s="14"/>
      <c r="W49" s="16">
        <f t="shared" si="12"/>
        <v>-0.30326785714285676</v>
      </c>
      <c r="X49" s="16"/>
      <c r="Y49" s="16">
        <f t="shared" si="28"/>
        <v>0.13784902597402579</v>
      </c>
      <c r="Z49" s="14"/>
      <c r="AA49" s="18">
        <f t="shared" si="14"/>
        <v>8.2417671614100102E-2</v>
      </c>
      <c r="AB49" s="18">
        <f t="shared" si="35"/>
        <v>49.8</v>
      </c>
      <c r="AC49" s="18">
        <f t="shared" si="51"/>
        <v>1.1992207792207774</v>
      </c>
      <c r="AD49" s="14"/>
      <c r="AE49" s="14"/>
      <c r="AF49" s="18">
        <f t="shared" si="18"/>
        <v>5.9749536178107528E-2</v>
      </c>
      <c r="AG49" s="14"/>
      <c r="AH49" s="18">
        <f t="shared" si="57"/>
        <v>1.5316558441558424E-2</v>
      </c>
      <c r="AI49" s="14"/>
      <c r="AJ49" s="18">
        <f t="shared" si="19"/>
        <v>1.5316558441558423E-2</v>
      </c>
      <c r="AK49" s="18">
        <f t="shared" si="43"/>
        <v>1.5316558441558423E-2</v>
      </c>
      <c r="AM49" s="41">
        <f t="shared" si="53"/>
        <v>-3.8597727272727235E-2</v>
      </c>
      <c r="AN49" s="41"/>
      <c r="AP49" s="35">
        <f t="shared" si="55"/>
        <v>1.5316558441558423E-2</v>
      </c>
      <c r="AQ49" s="45">
        <f t="shared" si="61"/>
        <v>-5.3914285714285658E-2</v>
      </c>
      <c r="AR49" s="47">
        <f t="shared" si="20"/>
        <v>-3.8597727272727235E-2</v>
      </c>
      <c r="AS49" s="18"/>
      <c r="AT49" s="14">
        <f t="shared" si="62"/>
        <v>7.5811688311688386E-2</v>
      </c>
      <c r="AU49" s="14"/>
      <c r="AV49" s="14"/>
      <c r="AW49" s="14">
        <f t="shared" si="63"/>
        <v>-8.3392857142857241E-2</v>
      </c>
      <c r="AX49" s="18">
        <f t="shared" si="23"/>
        <v>49.8</v>
      </c>
      <c r="AY49" s="14">
        <f t="shared" ref="AY49:AY67" si="64">3*$Z$4/$C$5^2*((-1+3*O48/$C$5-3*O48^2/2/$C$5^2)*$P$4)</f>
        <v>2.7758881330309914E-2</v>
      </c>
      <c r="AZ49" s="14"/>
      <c r="BA49" s="14"/>
      <c r="BB49" s="14">
        <f t="shared" si="34"/>
        <v>48.9</v>
      </c>
      <c r="BC49" s="14">
        <f t="shared" si="52"/>
        <v>3.3145657252800123E-2</v>
      </c>
    </row>
    <row r="50" spans="13:55" x14ac:dyDescent="0.25">
      <c r="M50" s="13">
        <v>4</v>
      </c>
      <c r="N50" s="16">
        <f t="shared" si="56"/>
        <v>51.599999999999994</v>
      </c>
      <c r="O50" s="16">
        <f t="shared" si="58"/>
        <v>3.5999999999999943</v>
      </c>
      <c r="P50" s="18">
        <f t="shared" si="59"/>
        <v>2.0197402597402574</v>
      </c>
      <c r="Q50" s="18">
        <f t="shared" si="60"/>
        <v>-9.0888311688311596</v>
      </c>
      <c r="R50" s="14"/>
      <c r="S50" s="18">
        <f t="shared" si="11"/>
        <v>0.33662337662337621</v>
      </c>
      <c r="T50" s="14"/>
      <c r="U50" s="14"/>
      <c r="V50" s="14"/>
      <c r="W50" s="16">
        <f t="shared" si="12"/>
        <v>-0.37028571428571389</v>
      </c>
      <c r="X50" s="16"/>
      <c r="Y50" s="16">
        <f t="shared" si="28"/>
        <v>0.16831168831168811</v>
      </c>
      <c r="Z50" s="14"/>
      <c r="AA50" s="18">
        <f t="shared" si="14"/>
        <v>0.10063079777365483</v>
      </c>
      <c r="AB50" s="18">
        <f t="shared" si="35"/>
        <v>50.699999999999996</v>
      </c>
      <c r="AC50" s="18">
        <f t="shared" si="51"/>
        <v>1.6541883116883096</v>
      </c>
      <c r="AD50" s="14"/>
      <c r="AE50" s="14"/>
      <c r="AF50" s="18">
        <f t="shared" si="18"/>
        <v>8.2417671614100102E-2</v>
      </c>
      <c r="AG50" s="14"/>
      <c r="AH50" s="18">
        <f t="shared" si="57"/>
        <v>1.8701298701298677E-2</v>
      </c>
      <c r="AI50" s="14"/>
      <c r="AJ50" s="18">
        <f t="shared" si="19"/>
        <v>1.8701298701298677E-2</v>
      </c>
      <c r="AK50" s="18">
        <f t="shared" si="43"/>
        <v>1.8701298701298677E-2</v>
      </c>
      <c r="AM50" s="41">
        <f t="shared" si="53"/>
        <v>-4.7127272727272684E-2</v>
      </c>
      <c r="AN50" s="41"/>
      <c r="AP50" s="35">
        <f t="shared" si="55"/>
        <v>1.8701298701298677E-2</v>
      </c>
      <c r="AQ50" s="45">
        <f t="shared" si="61"/>
        <v>-6.5828571428571361E-2</v>
      </c>
      <c r="AR50" s="47">
        <f t="shared" si="20"/>
        <v>-4.7127272727272684E-2</v>
      </c>
      <c r="AS50" s="18"/>
      <c r="AT50" s="14">
        <f t="shared" si="62"/>
        <v>5.974025974025983E-2</v>
      </c>
      <c r="AU50" s="14"/>
      <c r="AV50" s="14"/>
      <c r="AW50" s="14">
        <f t="shared" si="63"/>
        <v>-6.5714285714285822E-2</v>
      </c>
      <c r="AX50" s="18">
        <f t="shared" si="23"/>
        <v>50.699999999999996</v>
      </c>
      <c r="AY50" s="14">
        <f t="shared" si="64"/>
        <v>2.2663282484711084E-2</v>
      </c>
      <c r="AZ50" s="14"/>
      <c r="BA50" s="14"/>
      <c r="BB50" s="14">
        <f t="shared" si="34"/>
        <v>49.8</v>
      </c>
      <c r="BC50" s="14">
        <f t="shared" si="52"/>
        <v>2.7758881330309914E-2</v>
      </c>
    </row>
    <row r="51" spans="13:55" x14ac:dyDescent="0.25">
      <c r="M51" s="13">
        <v>5</v>
      </c>
      <c r="N51" s="16">
        <f t="shared" si="56"/>
        <v>52.499999999999993</v>
      </c>
      <c r="O51" s="16">
        <f t="shared" si="58"/>
        <v>4.4999999999999929</v>
      </c>
      <c r="P51" s="18">
        <f t="shared" si="59"/>
        <v>2.301136363636362</v>
      </c>
      <c r="Q51" s="18">
        <f t="shared" si="60"/>
        <v>-10.35511363636363</v>
      </c>
      <c r="R51" s="14"/>
      <c r="S51" s="18">
        <f t="shared" si="11"/>
        <v>0.38352272727272696</v>
      </c>
      <c r="T51" s="14"/>
      <c r="U51" s="14"/>
      <c r="V51" s="14"/>
      <c r="W51" s="16">
        <f t="shared" si="12"/>
        <v>-0.42187499999999967</v>
      </c>
      <c r="X51" s="16"/>
      <c r="Y51" s="16">
        <f t="shared" si="28"/>
        <v>0.19176136363636348</v>
      </c>
      <c r="Z51" s="14"/>
      <c r="AA51" s="18">
        <f t="shared" si="14"/>
        <v>0.11465097402597398</v>
      </c>
      <c r="AB51" s="18">
        <f t="shared" si="35"/>
        <v>51.599999999999994</v>
      </c>
      <c r="AC51" s="18">
        <f t="shared" si="51"/>
        <v>2.0197402597402574</v>
      </c>
      <c r="AD51" s="14"/>
      <c r="AE51" s="14"/>
      <c r="AF51" s="18">
        <f t="shared" si="18"/>
        <v>0.10063079777365483</v>
      </c>
      <c r="AG51" s="14"/>
      <c r="AH51" s="18">
        <f t="shared" si="57"/>
        <v>2.1306818181818166E-2</v>
      </c>
      <c r="AI51" s="14"/>
      <c r="AJ51" s="18">
        <f t="shared" si="19"/>
        <v>2.1306818181818166E-2</v>
      </c>
      <c r="AK51" s="18">
        <f t="shared" si="43"/>
        <v>2.1306818181818166E-2</v>
      </c>
      <c r="AM51" s="41">
        <f t="shared" si="53"/>
        <v>-5.3693181818181772E-2</v>
      </c>
      <c r="AN51" s="41"/>
      <c r="AP51" s="35">
        <f t="shared" si="55"/>
        <v>2.1306818181818166E-2</v>
      </c>
      <c r="AQ51" s="45">
        <f t="shared" si="61"/>
        <v>-7.4999999999999942E-2</v>
      </c>
      <c r="AR51" s="47">
        <f t="shared" si="20"/>
        <v>-5.3693181818181772E-2</v>
      </c>
      <c r="AS51" s="18"/>
      <c r="AT51" s="14">
        <f t="shared" si="62"/>
        <v>4.4642857142857262E-2</v>
      </c>
      <c r="AU51" s="14"/>
      <c r="AV51" s="14"/>
      <c r="AW51" s="14">
        <f t="shared" si="63"/>
        <v>-4.9107142857142995E-2</v>
      </c>
      <c r="AX51" s="18">
        <f t="shared" si="23"/>
        <v>51.599999999999994</v>
      </c>
      <c r="AY51" s="14">
        <f t="shared" si="64"/>
        <v>1.7858860716003604E-2</v>
      </c>
      <c r="AZ51" s="14"/>
      <c r="BA51" s="14"/>
      <c r="BB51" s="14">
        <f t="shared" si="34"/>
        <v>50.699999999999996</v>
      </c>
      <c r="BC51" s="14">
        <f t="shared" si="52"/>
        <v>2.2663282484711084E-2</v>
      </c>
    </row>
    <row r="52" spans="13:55" x14ac:dyDescent="0.25">
      <c r="M52" s="13">
        <v>6</v>
      </c>
      <c r="N52" s="16">
        <f t="shared" si="56"/>
        <v>53.399999999999991</v>
      </c>
      <c r="O52" s="16">
        <f t="shared" si="58"/>
        <v>5.3999999999999915</v>
      </c>
      <c r="P52" s="18">
        <f t="shared" si="59"/>
        <v>2.5036363636363617</v>
      </c>
      <c r="Q52" s="18">
        <f t="shared" si="60"/>
        <v>-11.266363636363629</v>
      </c>
      <c r="R52" s="14"/>
      <c r="S52" s="18">
        <f t="shared" si="11"/>
        <v>0.41727272727272691</v>
      </c>
      <c r="T52" s="14"/>
      <c r="U52" s="14"/>
      <c r="V52" s="14"/>
      <c r="W52" s="16">
        <f t="shared" si="12"/>
        <v>-0.45899999999999963</v>
      </c>
      <c r="X52" s="16"/>
      <c r="Y52" s="16">
        <f t="shared" si="28"/>
        <v>0.20863636363636345</v>
      </c>
      <c r="Z52" s="14"/>
      <c r="AA52" s="18">
        <f t="shared" si="14"/>
        <v>0.12474025974025967</v>
      </c>
      <c r="AB52" s="18">
        <f t="shared" si="35"/>
        <v>52.499999999999993</v>
      </c>
      <c r="AC52" s="18">
        <f t="shared" si="51"/>
        <v>2.301136363636362</v>
      </c>
      <c r="AD52" s="14"/>
      <c r="AE52" s="14"/>
      <c r="AF52" s="18">
        <f t="shared" si="18"/>
        <v>0.11465097402597398</v>
      </c>
      <c r="AG52" s="14"/>
      <c r="AH52" s="18">
        <f t="shared" si="57"/>
        <v>2.3181818181818161E-2</v>
      </c>
      <c r="AI52" s="14"/>
      <c r="AJ52" s="18">
        <f t="shared" si="19"/>
        <v>2.3181818181818161E-2</v>
      </c>
      <c r="AK52" s="18">
        <f t="shared" si="43"/>
        <v>2.3181818181818161E-2</v>
      </c>
      <c r="AM52" s="41">
        <f t="shared" si="53"/>
        <v>-5.8418181818181779E-2</v>
      </c>
      <c r="AN52" s="41"/>
      <c r="AP52" s="35">
        <f t="shared" si="55"/>
        <v>2.3181818181818161E-2</v>
      </c>
      <c r="AQ52" s="45">
        <f t="shared" si="61"/>
        <v>-8.1599999999999936E-2</v>
      </c>
      <c r="AR52" s="47">
        <f t="shared" si="20"/>
        <v>-5.8418181818181779E-2</v>
      </c>
      <c r="AS52" s="18"/>
      <c r="AT52" s="14">
        <f t="shared" si="62"/>
        <v>3.0519480519480644E-2</v>
      </c>
      <c r="AU52" s="14"/>
      <c r="AV52" s="14"/>
      <c r="AW52" s="14">
        <f t="shared" si="63"/>
        <v>-3.357142857142871E-2</v>
      </c>
      <c r="AX52" s="18">
        <f t="shared" si="23"/>
        <v>52.499999999999993</v>
      </c>
      <c r="AY52" s="14">
        <f t="shared" si="64"/>
        <v>1.3345616024187492E-2</v>
      </c>
      <c r="AZ52" s="14"/>
      <c r="BA52" s="14"/>
      <c r="BB52" s="14">
        <f t="shared" si="34"/>
        <v>51.599999999999994</v>
      </c>
      <c r="BC52" s="14">
        <f t="shared" si="52"/>
        <v>1.7858860716003604E-2</v>
      </c>
    </row>
    <row r="53" spans="13:55" x14ac:dyDescent="0.25">
      <c r="M53" s="13">
        <v>7</v>
      </c>
      <c r="N53" s="16">
        <f t="shared" si="56"/>
        <v>54.29999999999999</v>
      </c>
      <c r="O53" s="16">
        <f t="shared" si="58"/>
        <v>6.2999999999999901</v>
      </c>
      <c r="P53" s="18">
        <f t="shared" si="59"/>
        <v>2.632499999999999</v>
      </c>
      <c r="Q53" s="18">
        <f t="shared" si="60"/>
        <v>-11.846249999999996</v>
      </c>
      <c r="R53" s="14"/>
      <c r="S53" s="18">
        <f t="shared" si="11"/>
        <v>0.43874999999999981</v>
      </c>
      <c r="T53" s="14"/>
      <c r="U53" s="14"/>
      <c r="V53" s="14"/>
      <c r="W53" s="16">
        <f t="shared" si="12"/>
        <v>-0.4826249999999998</v>
      </c>
      <c r="X53" s="16"/>
      <c r="Y53" s="16">
        <f t="shared" si="28"/>
        <v>0.2193749999999999</v>
      </c>
      <c r="Z53" s="14"/>
      <c r="AA53" s="18">
        <f t="shared" si="14"/>
        <v>0.13116071428571427</v>
      </c>
      <c r="AB53" s="18">
        <f t="shared" si="35"/>
        <v>53.399999999999991</v>
      </c>
      <c r="AC53" s="18">
        <f t="shared" si="51"/>
        <v>2.5036363636363617</v>
      </c>
      <c r="AD53" s="14"/>
      <c r="AE53" s="14"/>
      <c r="AF53" s="18">
        <f t="shared" si="18"/>
        <v>0.12474025974025967</v>
      </c>
      <c r="AG53" s="14"/>
      <c r="AH53" s="18">
        <f t="shared" si="57"/>
        <v>2.4374999999999994E-2</v>
      </c>
      <c r="AI53" s="14"/>
      <c r="AJ53" s="18">
        <f t="shared" si="19"/>
        <v>2.437499999999999E-2</v>
      </c>
      <c r="AK53" s="18">
        <f t="shared" si="43"/>
        <v>2.437499999999999E-2</v>
      </c>
      <c r="AM53" s="41">
        <f t="shared" si="53"/>
        <v>-6.1424999999999973E-2</v>
      </c>
      <c r="AN53" s="41"/>
      <c r="AP53" s="35">
        <f t="shared" si="55"/>
        <v>2.437499999999999E-2</v>
      </c>
      <c r="AQ53" s="45">
        <f t="shared" si="61"/>
        <v>-8.579999999999996E-2</v>
      </c>
      <c r="AR53" s="47">
        <f t="shared" si="20"/>
        <v>-6.1424999999999973E-2</v>
      </c>
      <c r="AS53" s="18"/>
      <c r="AT53" s="14">
        <f t="shared" si="62"/>
        <v>1.7370129870130015E-2</v>
      </c>
      <c r="AU53" s="14"/>
      <c r="AV53" s="14"/>
      <c r="AW53" s="14">
        <f t="shared" si="63"/>
        <v>-1.910714285714302E-2</v>
      </c>
      <c r="AX53" s="18">
        <f t="shared" si="23"/>
        <v>53.399999999999991</v>
      </c>
      <c r="AY53" s="14">
        <f t="shared" si="64"/>
        <v>9.1235484092627352E-3</v>
      </c>
      <c r="AZ53" s="14"/>
      <c r="BA53" s="14"/>
      <c r="BB53" s="14">
        <f t="shared" si="34"/>
        <v>52.499999999999993</v>
      </c>
      <c r="BC53" s="14">
        <f t="shared" si="52"/>
        <v>1.3345616024187492E-2</v>
      </c>
    </row>
    <row r="54" spans="13:55" x14ac:dyDescent="0.25">
      <c r="M54" s="13">
        <v>8</v>
      </c>
      <c r="N54" s="16">
        <f t="shared" si="56"/>
        <v>55.199999999999989</v>
      </c>
      <c r="O54" s="16">
        <f t="shared" si="58"/>
        <v>7.1999999999999886</v>
      </c>
      <c r="P54" s="18">
        <f t="shared" si="59"/>
        <v>2.6929870129870124</v>
      </c>
      <c r="Q54" s="18">
        <f t="shared" si="60"/>
        <v>-12.118441558441557</v>
      </c>
      <c r="R54" s="14"/>
      <c r="S54" s="18">
        <f t="shared" si="11"/>
        <v>0.44883116883116869</v>
      </c>
      <c r="T54" s="14"/>
      <c r="U54" s="14"/>
      <c r="V54" s="14"/>
      <c r="W54" s="16">
        <f t="shared" si="12"/>
        <v>-0.49371428571428566</v>
      </c>
      <c r="X54" s="16"/>
      <c r="Y54" s="16">
        <f t="shared" si="28"/>
        <v>0.22441558441558435</v>
      </c>
      <c r="Z54" s="14"/>
      <c r="AA54" s="18">
        <f t="shared" si="14"/>
        <v>0.13417439703153988</v>
      </c>
      <c r="AB54" s="18">
        <f t="shared" si="35"/>
        <v>54.29999999999999</v>
      </c>
      <c r="AC54" s="18">
        <f t="shared" si="51"/>
        <v>2.632499999999999</v>
      </c>
      <c r="AD54" s="14"/>
      <c r="AE54" s="14"/>
      <c r="AF54" s="18">
        <f t="shared" si="18"/>
        <v>0.13116071428571427</v>
      </c>
      <c r="AG54" s="14"/>
      <c r="AH54" s="18">
        <f t="shared" si="57"/>
        <v>2.4935064935064928E-2</v>
      </c>
      <c r="AI54" s="14"/>
      <c r="AJ54" s="18">
        <f t="shared" si="19"/>
        <v>2.4935064935064925E-2</v>
      </c>
      <c r="AK54" s="18">
        <f t="shared" si="43"/>
        <v>2.4935064935064925E-2</v>
      </c>
      <c r="AM54" s="41">
        <f t="shared" si="53"/>
        <v>-6.2836363636363621E-2</v>
      </c>
      <c r="AN54" s="41"/>
      <c r="AP54" s="35">
        <f t="shared" si="55"/>
        <v>2.4935064935064925E-2</v>
      </c>
      <c r="AQ54" s="45">
        <f t="shared" si="61"/>
        <v>-8.7771428571428542E-2</v>
      </c>
      <c r="AR54" s="47">
        <f t="shared" si="20"/>
        <v>-6.2836363636363621E-2</v>
      </c>
      <c r="AS54" s="18"/>
      <c r="AT54" s="14">
        <f t="shared" si="62"/>
        <v>5.1948051948053284E-3</v>
      </c>
      <c r="AU54" s="14"/>
      <c r="AV54" s="14"/>
      <c r="AW54" s="14">
        <f t="shared" si="63"/>
        <v>-5.7142857142858617E-3</v>
      </c>
      <c r="AX54" s="18">
        <f t="shared" si="23"/>
        <v>54.29999999999999</v>
      </c>
      <c r="AY54" s="14">
        <f t="shared" si="64"/>
        <v>5.1926578712293446E-3</v>
      </c>
      <c r="AZ54" s="14"/>
      <c r="BA54" s="14"/>
      <c r="BB54" s="14">
        <f t="shared" si="34"/>
        <v>53.399999999999991</v>
      </c>
      <c r="BC54" s="14">
        <f t="shared" si="52"/>
        <v>9.1235484092627352E-3</v>
      </c>
    </row>
    <row r="55" spans="13:55" x14ac:dyDescent="0.25">
      <c r="M55" s="13">
        <v>9</v>
      </c>
      <c r="N55" s="16">
        <f t="shared" si="56"/>
        <v>56.099999999999987</v>
      </c>
      <c r="O55" s="16">
        <f t="shared" si="58"/>
        <v>8.0999999999999872</v>
      </c>
      <c r="P55" s="18">
        <f t="shared" si="59"/>
        <v>2.6903571428571436</v>
      </c>
      <c r="Q55" s="18">
        <f t="shared" si="60"/>
        <v>-12.106607142857147</v>
      </c>
      <c r="R55" s="14"/>
      <c r="S55" s="18">
        <f t="shared" si="11"/>
        <v>0.44839285714285726</v>
      </c>
      <c r="T55" s="14"/>
      <c r="U55" s="14"/>
      <c r="V55" s="14"/>
      <c r="W55" s="16">
        <f t="shared" si="12"/>
        <v>-0.49323214285714301</v>
      </c>
      <c r="X55" s="16"/>
      <c r="Y55" s="16">
        <f t="shared" si="28"/>
        <v>0.22419642857142863</v>
      </c>
      <c r="Z55" s="14"/>
      <c r="AA55" s="18">
        <f t="shared" si="14"/>
        <v>0.13404336734693884</v>
      </c>
      <c r="AB55" s="18">
        <f t="shared" si="35"/>
        <v>55.199999999999989</v>
      </c>
      <c r="AC55" s="18">
        <f t="shared" si="51"/>
        <v>2.6929870129870124</v>
      </c>
      <c r="AD55" s="14"/>
      <c r="AE55" s="14"/>
      <c r="AF55" s="18">
        <f t="shared" si="18"/>
        <v>0.13417439703153988</v>
      </c>
      <c r="AG55" s="14"/>
      <c r="AH55" s="18">
        <f t="shared" si="57"/>
        <v>2.4910714285714293E-2</v>
      </c>
      <c r="AI55" s="14"/>
      <c r="AJ55" s="18">
        <f t="shared" si="19"/>
        <v>2.491071428571429E-2</v>
      </c>
      <c r="AK55" s="18">
        <f t="shared" si="43"/>
        <v>2.491071428571429E-2</v>
      </c>
      <c r="AM55" s="41">
        <f t="shared" si="53"/>
        <v>-6.2775000000000025E-2</v>
      </c>
      <c r="AN55" s="41"/>
      <c r="AP55" s="35">
        <f t="shared" si="55"/>
        <v>2.491071428571429E-2</v>
      </c>
      <c r="AQ55" s="45">
        <f t="shared" si="61"/>
        <v>-8.7685714285714311E-2</v>
      </c>
      <c r="AR55" s="47">
        <f t="shared" si="20"/>
        <v>-6.2775000000000025E-2</v>
      </c>
      <c r="AS55" s="18"/>
      <c r="AT55" s="14">
        <f t="shared" si="62"/>
        <v>-6.0064935064933558E-3</v>
      </c>
      <c r="AU55" s="14"/>
      <c r="AV55" s="14"/>
      <c r="AW55" s="14">
        <f t="shared" si="63"/>
        <v>6.6071428571426926E-3</v>
      </c>
      <c r="AX55" s="18">
        <f t="shared" si="23"/>
        <v>55.199999999999989</v>
      </c>
      <c r="AY55" s="14">
        <f t="shared" si="64"/>
        <v>1.5529444100873078E-3</v>
      </c>
      <c r="AZ55" s="14"/>
      <c r="BA55" s="14"/>
      <c r="BB55" s="14">
        <f t="shared" si="34"/>
        <v>54.29999999999999</v>
      </c>
      <c r="BC55" s="14">
        <f t="shared" si="52"/>
        <v>5.1926578712293446E-3</v>
      </c>
    </row>
    <row r="56" spans="13:55" x14ac:dyDescent="0.25">
      <c r="M56" s="13">
        <v>10</v>
      </c>
      <c r="N56" s="16">
        <f t="shared" si="56"/>
        <v>56.999999999999986</v>
      </c>
      <c r="O56" s="16">
        <f t="shared" si="58"/>
        <v>8.9999999999999858</v>
      </c>
      <c r="P56" s="18">
        <f t="shared" si="59"/>
        <v>2.629870129870131</v>
      </c>
      <c r="Q56" s="18">
        <f t="shared" si="60"/>
        <v>-11.834415584415591</v>
      </c>
      <c r="R56" s="14"/>
      <c r="S56" s="18">
        <f t="shared" si="11"/>
        <v>0.43831168831168849</v>
      </c>
      <c r="T56" s="14"/>
      <c r="U56" s="14"/>
      <c r="V56" s="14"/>
      <c r="W56" s="16">
        <f t="shared" si="12"/>
        <v>-0.48214285714285743</v>
      </c>
      <c r="X56" s="16"/>
      <c r="Y56" s="16">
        <f t="shared" si="28"/>
        <v>0.21915584415584424</v>
      </c>
      <c r="Z56" s="14"/>
      <c r="AA56" s="18">
        <f t="shared" si="14"/>
        <v>0.13102968460111325</v>
      </c>
      <c r="AB56" s="18">
        <f t="shared" si="35"/>
        <v>56.099999999999987</v>
      </c>
      <c r="AC56" s="18">
        <f t="shared" si="51"/>
        <v>2.6903571428571436</v>
      </c>
      <c r="AD56" s="14"/>
      <c r="AE56" s="14"/>
      <c r="AF56" s="18">
        <f t="shared" si="18"/>
        <v>0.13404336734693884</v>
      </c>
      <c r="AG56" s="14"/>
      <c r="AH56" s="18">
        <f t="shared" si="57"/>
        <v>2.4350649350649359E-2</v>
      </c>
      <c r="AI56" s="14"/>
      <c r="AJ56" s="18">
        <f t="shared" si="19"/>
        <v>2.4350649350649359E-2</v>
      </c>
      <c r="AK56" s="18">
        <f t="shared" si="43"/>
        <v>2.4350649350649359E-2</v>
      </c>
      <c r="AM56" s="41">
        <f t="shared" si="53"/>
        <v>-6.1363636363636391E-2</v>
      </c>
      <c r="AN56" s="41"/>
      <c r="AP56" s="35">
        <f t="shared" si="55"/>
        <v>2.4350649350649359E-2</v>
      </c>
      <c r="AQ56" s="45">
        <f t="shared" si="61"/>
        <v>-8.5714285714285743E-2</v>
      </c>
      <c r="AR56" s="47">
        <f t="shared" si="20"/>
        <v>-6.1363636363636391E-2</v>
      </c>
      <c r="AS56" s="18"/>
      <c r="AT56" s="14">
        <f t="shared" si="62"/>
        <v>-1.6233766233766066E-2</v>
      </c>
      <c r="AU56" s="14"/>
      <c r="AV56" s="14"/>
      <c r="AW56" s="14">
        <f t="shared" si="63"/>
        <v>1.7857142857142676E-2</v>
      </c>
      <c r="AX56" s="18">
        <f t="shared" si="23"/>
        <v>56.099999999999987</v>
      </c>
      <c r="AY56" s="14">
        <f t="shared" si="64"/>
        <v>-1.7955919741633581E-3</v>
      </c>
      <c r="AZ56" s="14"/>
      <c r="BA56" s="14"/>
      <c r="BB56" s="14">
        <f t="shared" si="34"/>
        <v>55.199999999999989</v>
      </c>
      <c r="BC56" s="14">
        <f t="shared" si="52"/>
        <v>1.5529444100873078E-3</v>
      </c>
    </row>
    <row r="57" spans="13:55" x14ac:dyDescent="0.25">
      <c r="M57" s="13">
        <v>11</v>
      </c>
      <c r="N57" s="16">
        <f t="shared" si="56"/>
        <v>57.899999999999984</v>
      </c>
      <c r="O57" s="16">
        <f t="shared" si="58"/>
        <v>9.8999999999999844</v>
      </c>
      <c r="P57" s="18">
        <f t="shared" si="59"/>
        <v>2.5167857142857164</v>
      </c>
      <c r="Q57" s="18">
        <f t="shared" si="60"/>
        <v>-11.325535714285724</v>
      </c>
      <c r="R57" s="14"/>
      <c r="S57" s="18">
        <f t="shared" si="11"/>
        <v>0.41946428571428607</v>
      </c>
      <c r="T57" s="14"/>
      <c r="U57" s="14"/>
      <c r="V57" s="14"/>
      <c r="W57" s="16">
        <f t="shared" si="12"/>
        <v>-0.46141071428571467</v>
      </c>
      <c r="X57" s="16"/>
      <c r="Y57" s="16">
        <f t="shared" si="28"/>
        <v>0.20973214285714303</v>
      </c>
      <c r="Z57" s="14"/>
      <c r="AA57" s="18">
        <f t="shared" si="14"/>
        <v>0.12539540816326544</v>
      </c>
      <c r="AB57" s="18">
        <f t="shared" si="35"/>
        <v>56.999999999999986</v>
      </c>
      <c r="AC57" s="18">
        <f t="shared" si="51"/>
        <v>2.629870129870131</v>
      </c>
      <c r="AD57" s="14"/>
      <c r="AE57" s="14"/>
      <c r="AF57" s="18">
        <f t="shared" si="18"/>
        <v>0.13102968460111325</v>
      </c>
      <c r="AG57" s="14"/>
      <c r="AH57" s="18">
        <f t="shared" si="57"/>
        <v>2.3303571428571448E-2</v>
      </c>
      <c r="AI57" s="14"/>
      <c r="AJ57" s="18">
        <f t="shared" si="19"/>
        <v>2.3303571428571448E-2</v>
      </c>
      <c r="AK57" s="18">
        <f t="shared" si="43"/>
        <v>2.3303571428571448E-2</v>
      </c>
      <c r="AM57" s="41">
        <f t="shared" si="53"/>
        <v>-5.8725000000000062E-2</v>
      </c>
      <c r="AN57" s="41"/>
      <c r="AP57" s="35">
        <f t="shared" si="55"/>
        <v>2.3303571428571448E-2</v>
      </c>
      <c r="AQ57" s="45">
        <f t="shared" si="61"/>
        <v>-8.2028571428571506E-2</v>
      </c>
      <c r="AR57" s="47">
        <f t="shared" si="20"/>
        <v>-5.8725000000000062E-2</v>
      </c>
      <c r="AS57" s="18"/>
      <c r="AT57" s="14">
        <f t="shared" si="62"/>
        <v>-2.5487012987012843E-2</v>
      </c>
      <c r="AU57" s="14"/>
      <c r="AV57" s="14"/>
      <c r="AW57" s="14">
        <f t="shared" si="63"/>
        <v>2.8035714285714133E-2</v>
      </c>
      <c r="AX57" s="18">
        <f t="shared" si="23"/>
        <v>56.999999999999986</v>
      </c>
      <c r="AY57" s="14">
        <f t="shared" si="64"/>
        <v>-4.8529512815226605E-3</v>
      </c>
      <c r="AZ57" s="14"/>
      <c r="BA57" s="14"/>
      <c r="BB57" s="14">
        <f t="shared" si="34"/>
        <v>56.099999999999987</v>
      </c>
      <c r="BC57" s="14">
        <f t="shared" si="52"/>
        <v>-1.7955919741633581E-3</v>
      </c>
    </row>
    <row r="58" spans="13:55" x14ac:dyDescent="0.25">
      <c r="M58" s="13">
        <v>12</v>
      </c>
      <c r="N58" s="16">
        <f t="shared" si="56"/>
        <v>58.799999999999983</v>
      </c>
      <c r="O58" s="16">
        <f t="shared" si="58"/>
        <v>10.799999999999983</v>
      </c>
      <c r="P58" s="18">
        <f t="shared" si="59"/>
        <v>2.3563636363636391</v>
      </c>
      <c r="Q58" s="18">
        <f t="shared" si="60"/>
        <v>-10.603636363636378</v>
      </c>
      <c r="R58" s="14"/>
      <c r="S58" s="18">
        <f t="shared" si="11"/>
        <v>0.39272727272727315</v>
      </c>
      <c r="T58" s="14"/>
      <c r="U58" s="14"/>
      <c r="V58" s="14"/>
      <c r="W58" s="16">
        <f t="shared" si="12"/>
        <v>-0.43200000000000049</v>
      </c>
      <c r="X58" s="16"/>
      <c r="Y58" s="16">
        <f t="shared" si="28"/>
        <v>0.19636363636363657</v>
      </c>
      <c r="Z58" s="14"/>
      <c r="AA58" s="18">
        <f t="shared" si="14"/>
        <v>0.11740259740259756</v>
      </c>
      <c r="AB58" s="18">
        <f t="shared" si="35"/>
        <v>57.899999999999984</v>
      </c>
      <c r="AC58" s="18">
        <f t="shared" si="51"/>
        <v>2.5167857142857164</v>
      </c>
      <c r="AD58" s="14"/>
      <c r="AE58" s="14"/>
      <c r="AF58" s="18">
        <f t="shared" si="18"/>
        <v>0.12539540816326544</v>
      </c>
      <c r="AG58" s="14"/>
      <c r="AH58" s="18">
        <f t="shared" si="57"/>
        <v>2.1818181818181844E-2</v>
      </c>
      <c r="AI58" s="14"/>
      <c r="AJ58" s="18">
        <f t="shared" si="19"/>
        <v>2.1818181818181844E-2</v>
      </c>
      <c r="AK58" s="18">
        <f t="shared" si="43"/>
        <v>2.1818181818181844E-2</v>
      </c>
      <c r="AM58" s="41">
        <f t="shared" si="53"/>
        <v>-5.4981818181818257E-2</v>
      </c>
      <c r="AN58" s="41"/>
      <c r="AP58" s="35">
        <f t="shared" si="55"/>
        <v>2.1818181818181844E-2</v>
      </c>
      <c r="AQ58" s="45">
        <f t="shared" si="61"/>
        <v>-7.6800000000000104E-2</v>
      </c>
      <c r="AR58" s="47">
        <f t="shared" si="20"/>
        <v>-5.4981818181818257E-2</v>
      </c>
      <c r="AS58" s="18"/>
      <c r="AT58" s="14">
        <f t="shared" si="62"/>
        <v>-3.3766233766233618E-2</v>
      </c>
      <c r="AU58" s="14"/>
      <c r="AV58" s="14"/>
      <c r="AW58" s="14">
        <f t="shared" si="63"/>
        <v>3.7142857142856985E-2</v>
      </c>
      <c r="AX58" s="18">
        <f t="shared" si="23"/>
        <v>57.899999999999984</v>
      </c>
      <c r="AY58" s="14">
        <f t="shared" si="64"/>
        <v>-7.6191335119906141E-3</v>
      </c>
      <c r="AZ58" s="14"/>
      <c r="BA58" s="14"/>
      <c r="BB58" s="14">
        <f t="shared" si="34"/>
        <v>56.999999999999986</v>
      </c>
      <c r="BC58" s="14">
        <f t="shared" si="52"/>
        <v>-4.8529512815226605E-3</v>
      </c>
    </row>
    <row r="59" spans="13:55" x14ac:dyDescent="0.25">
      <c r="M59" s="13">
        <v>13</v>
      </c>
      <c r="N59" s="16">
        <f t="shared" si="56"/>
        <v>59.699999999999982</v>
      </c>
      <c r="O59" s="16">
        <f t="shared" si="58"/>
        <v>11.699999999999982</v>
      </c>
      <c r="P59" s="18">
        <f t="shared" si="59"/>
        <v>2.1538636363636403</v>
      </c>
      <c r="Q59" s="18">
        <f t="shared" si="60"/>
        <v>-9.6923863636363823</v>
      </c>
      <c r="R59" s="14"/>
      <c r="S59" s="18">
        <f t="shared" si="11"/>
        <v>0.35897727272727337</v>
      </c>
      <c r="T59" s="14"/>
      <c r="U59" s="14"/>
      <c r="V59" s="14"/>
      <c r="W59" s="16">
        <f t="shared" si="12"/>
        <v>-0.39487500000000075</v>
      </c>
      <c r="X59" s="16"/>
      <c r="Y59" s="16">
        <f t="shared" si="28"/>
        <v>0.17948863636363668</v>
      </c>
      <c r="Z59" s="14"/>
      <c r="AA59" s="18">
        <f t="shared" si="14"/>
        <v>0.1073133116883119</v>
      </c>
      <c r="AB59" s="18">
        <f t="shared" si="35"/>
        <v>58.799999999999983</v>
      </c>
      <c r="AC59" s="18">
        <f t="shared" si="51"/>
        <v>2.3563636363636391</v>
      </c>
      <c r="AD59" s="14"/>
      <c r="AE59" s="14"/>
      <c r="AF59" s="18">
        <f t="shared" si="18"/>
        <v>0.11740259740259756</v>
      </c>
      <c r="AG59" s="14"/>
      <c r="AH59" s="18">
        <f t="shared" si="57"/>
        <v>1.9943181818181853E-2</v>
      </c>
      <c r="AI59" s="14"/>
      <c r="AJ59" s="18">
        <f t="shared" si="19"/>
        <v>1.9943181818181853E-2</v>
      </c>
      <c r="AK59" s="18">
        <f t="shared" si="43"/>
        <v>1.9943181818181853E-2</v>
      </c>
      <c r="AM59" s="41">
        <f t="shared" si="53"/>
        <v>-5.0256818181818284E-2</v>
      </c>
      <c r="AN59" s="41"/>
      <c r="AP59" s="35">
        <f t="shared" si="55"/>
        <v>1.9943181818181853E-2</v>
      </c>
      <c r="AQ59" s="45">
        <f t="shared" si="61"/>
        <v>-7.0200000000000137E-2</v>
      </c>
      <c r="AR59" s="47">
        <f t="shared" si="20"/>
        <v>-5.0256818181818284E-2</v>
      </c>
      <c r="AS59" s="18"/>
      <c r="AT59" s="14">
        <f t="shared" si="62"/>
        <v>-4.1071428571428412E-2</v>
      </c>
      <c r="AU59" s="14"/>
      <c r="AV59" s="14"/>
      <c r="AW59" s="14">
        <f t="shared" si="63"/>
        <v>4.5178571428571256E-2</v>
      </c>
      <c r="AX59" s="18">
        <f t="shared" si="23"/>
        <v>58.799999999999983</v>
      </c>
      <c r="AY59" s="14">
        <f t="shared" si="64"/>
        <v>-1.0094138665567196E-2</v>
      </c>
      <c r="AZ59" s="14"/>
      <c r="BA59" s="14"/>
      <c r="BB59" s="14">
        <f t="shared" si="34"/>
        <v>57.899999999999984</v>
      </c>
      <c r="BC59" s="14">
        <f t="shared" si="52"/>
        <v>-7.6191335119906141E-3</v>
      </c>
    </row>
    <row r="60" spans="13:55" x14ac:dyDescent="0.25">
      <c r="M60" s="13">
        <v>14</v>
      </c>
      <c r="N60" s="16">
        <f t="shared" si="56"/>
        <v>60.59999999999998</v>
      </c>
      <c r="O60" s="16">
        <f t="shared" si="58"/>
        <v>12.59999999999998</v>
      </c>
      <c r="P60" s="18">
        <f t="shared" si="59"/>
        <v>1.9145454545454605</v>
      </c>
      <c r="Q60" s="18">
        <f t="shared" si="60"/>
        <v>-8.6154545454545737</v>
      </c>
      <c r="R60" s="14"/>
      <c r="S60" s="18">
        <f t="shared" si="11"/>
        <v>0.31909090909091009</v>
      </c>
      <c r="T60" s="14"/>
      <c r="U60" s="14"/>
      <c r="V60" s="14"/>
      <c r="W60" s="16">
        <f t="shared" si="12"/>
        <v>-0.35100000000000114</v>
      </c>
      <c r="X60" s="16"/>
      <c r="Y60" s="16">
        <f t="shared" si="28"/>
        <v>0.15954545454545505</v>
      </c>
      <c r="Z60" s="14"/>
      <c r="AA60" s="18">
        <f t="shared" si="14"/>
        <v>9.5389610389610704E-2</v>
      </c>
      <c r="AB60" s="18">
        <f t="shared" si="35"/>
        <v>59.699999999999982</v>
      </c>
      <c r="AC60" s="18">
        <f t="shared" si="51"/>
        <v>2.1538636363636403</v>
      </c>
      <c r="AD60" s="14"/>
      <c r="AE60" s="14"/>
      <c r="AF60" s="18">
        <f t="shared" si="18"/>
        <v>0.1073133116883119</v>
      </c>
      <c r="AG60" s="14"/>
      <c r="AH60" s="18">
        <f t="shared" si="57"/>
        <v>1.7727272727272782E-2</v>
      </c>
      <c r="AI60" s="14"/>
      <c r="AJ60" s="18">
        <f t="shared" si="19"/>
        <v>1.7727272727272782E-2</v>
      </c>
      <c r="AK60" s="18">
        <f t="shared" si="43"/>
        <v>1.7727272727272782E-2</v>
      </c>
      <c r="AM60" s="41">
        <f t="shared" si="53"/>
        <v>-4.4672727272727412E-2</v>
      </c>
      <c r="AN60" s="41"/>
      <c r="AP60" s="35">
        <f t="shared" si="55"/>
        <v>1.7727272727272782E-2</v>
      </c>
      <c r="AQ60" s="45">
        <f t="shared" si="61"/>
        <v>-6.2400000000000191E-2</v>
      </c>
      <c r="AR60" s="47">
        <f t="shared" si="20"/>
        <v>-4.4672727272727412E-2</v>
      </c>
      <c r="AS60" s="18"/>
      <c r="AT60" s="14">
        <f t="shared" si="62"/>
        <v>-4.7402597402597252E-2</v>
      </c>
      <c r="AU60" s="14"/>
      <c r="AV60" s="14"/>
      <c r="AW60" s="14">
        <f t="shared" si="63"/>
        <v>5.2142857142856984E-2</v>
      </c>
      <c r="AX60" s="18">
        <f t="shared" si="23"/>
        <v>59.699999999999982</v>
      </c>
      <c r="AY60" s="14">
        <f t="shared" si="64"/>
        <v>-1.2277966742252412E-2</v>
      </c>
      <c r="AZ60" s="14"/>
      <c r="BA60" s="14"/>
      <c r="BB60" s="14">
        <f t="shared" si="34"/>
        <v>58.799999999999983</v>
      </c>
      <c r="BC60" s="14">
        <f t="shared" si="52"/>
        <v>-1.0094138665567196E-2</v>
      </c>
    </row>
    <row r="61" spans="13:55" x14ac:dyDescent="0.25">
      <c r="M61" s="13">
        <v>15</v>
      </c>
      <c r="N61" s="16">
        <f t="shared" si="56"/>
        <v>61.499999999999979</v>
      </c>
      <c r="O61" s="16">
        <f t="shared" si="58"/>
        <v>13.499999999999979</v>
      </c>
      <c r="P61" s="18">
        <f t="shared" si="59"/>
        <v>1.6436688311688379</v>
      </c>
      <c r="Q61" s="18">
        <f t="shared" si="60"/>
        <v>-7.3965097402597717</v>
      </c>
      <c r="R61" s="14"/>
      <c r="S61" s="18">
        <f t="shared" si="11"/>
        <v>0.2739448051948063</v>
      </c>
      <c r="T61" s="14"/>
      <c r="U61" s="14"/>
      <c r="V61" s="14"/>
      <c r="W61" s="16">
        <f t="shared" si="12"/>
        <v>-0.30133928571428703</v>
      </c>
      <c r="X61" s="16"/>
      <c r="Y61" s="16">
        <f t="shared" si="28"/>
        <v>0.13697240259740315</v>
      </c>
      <c r="Z61" s="14"/>
      <c r="AA61" s="18">
        <f t="shared" si="14"/>
        <v>8.189355287569608E-2</v>
      </c>
      <c r="AB61" s="18">
        <f t="shared" si="35"/>
        <v>60.59999999999998</v>
      </c>
      <c r="AC61" s="18">
        <f t="shared" si="51"/>
        <v>1.9145454545454605</v>
      </c>
      <c r="AD61" s="14"/>
      <c r="AE61" s="14"/>
      <c r="AF61" s="18">
        <f t="shared" si="18"/>
        <v>9.5389610389610704E-2</v>
      </c>
      <c r="AG61" s="14"/>
      <c r="AH61" s="18">
        <f t="shared" si="57"/>
        <v>1.5219155844155908E-2</v>
      </c>
      <c r="AI61" s="14"/>
      <c r="AJ61" s="18">
        <f t="shared" si="19"/>
        <v>1.5219155844155908E-2</v>
      </c>
      <c r="AK61" s="18">
        <f t="shared" si="43"/>
        <v>1.5219155844155908E-2</v>
      </c>
      <c r="AM61" s="41">
        <f t="shared" si="53"/>
        <v>-3.8352272727272887E-2</v>
      </c>
      <c r="AN61" s="41"/>
      <c r="AP61" s="35">
        <f t="shared" si="55"/>
        <v>1.5219155844155908E-2</v>
      </c>
      <c r="AQ61" s="45">
        <f t="shared" si="61"/>
        <v>-5.3571428571428797E-2</v>
      </c>
      <c r="AR61" s="47">
        <f t="shared" si="20"/>
        <v>-3.8352272727272887E-2</v>
      </c>
      <c r="AS61" s="18"/>
      <c r="AT61" s="14">
        <f t="shared" si="62"/>
        <v>-5.2759740259740132E-2</v>
      </c>
      <c r="AU61" s="14"/>
      <c r="AV61" s="14"/>
      <c r="AW61" s="14">
        <f t="shared" si="63"/>
        <v>5.8035714285714163E-2</v>
      </c>
      <c r="AX61" s="18">
        <f t="shared" si="23"/>
        <v>60.59999999999998</v>
      </c>
      <c r="AY61" s="14">
        <f t="shared" si="64"/>
        <v>-1.4170617742046272E-2</v>
      </c>
      <c r="AZ61" s="14"/>
      <c r="BA61" s="14"/>
      <c r="BB61" s="14">
        <f t="shared" si="34"/>
        <v>59.699999999999982</v>
      </c>
      <c r="BC61" s="14">
        <f t="shared" si="52"/>
        <v>-1.2277966742252412E-2</v>
      </c>
    </row>
    <row r="62" spans="13:55" x14ac:dyDescent="0.25">
      <c r="M62" s="13">
        <v>16</v>
      </c>
      <c r="N62" s="16">
        <f t="shared" si="56"/>
        <v>62.399999999999977</v>
      </c>
      <c r="O62" s="16">
        <f t="shared" si="58"/>
        <v>14.399999999999977</v>
      </c>
      <c r="P62" s="18">
        <f t="shared" si="59"/>
        <v>1.3464935064935144</v>
      </c>
      <c r="Q62" s="18">
        <f t="shared" si="60"/>
        <v>-6.0592207792208148</v>
      </c>
      <c r="R62" s="14"/>
      <c r="S62" s="18">
        <f t="shared" si="11"/>
        <v>0.22441558441558573</v>
      </c>
      <c r="T62" s="14"/>
      <c r="U62" s="14"/>
      <c r="V62" s="14"/>
      <c r="W62" s="16">
        <f t="shared" si="12"/>
        <v>-0.24685714285714433</v>
      </c>
      <c r="X62" s="16"/>
      <c r="Y62" s="16">
        <f t="shared" si="28"/>
        <v>0.11220779220779287</v>
      </c>
      <c r="Z62" s="14"/>
      <c r="AA62" s="18">
        <f t="shared" si="14"/>
        <v>6.7087198515770358E-2</v>
      </c>
      <c r="AB62" s="18">
        <f t="shared" si="35"/>
        <v>61.499999999999979</v>
      </c>
      <c r="AC62" s="18">
        <f t="shared" si="51"/>
        <v>1.6436688311688379</v>
      </c>
      <c r="AD62" s="14"/>
      <c r="AE62" s="14"/>
      <c r="AF62" s="18">
        <f t="shared" si="18"/>
        <v>8.189355287569608E-2</v>
      </c>
      <c r="AG62" s="14"/>
      <c r="AH62" s="18">
        <f t="shared" si="57"/>
        <v>1.246753246753254E-2</v>
      </c>
      <c r="AI62" s="14"/>
      <c r="AJ62" s="18">
        <f t="shared" si="19"/>
        <v>1.246753246753254E-2</v>
      </c>
      <c r="AK62" s="18">
        <f t="shared" si="43"/>
        <v>1.246753246753254E-2</v>
      </c>
      <c r="AM62" s="41">
        <f t="shared" si="53"/>
        <v>-3.1418181818181998E-2</v>
      </c>
      <c r="AN62" s="41"/>
      <c r="AP62" s="35">
        <f t="shared" si="55"/>
        <v>1.246753246753254E-2</v>
      </c>
      <c r="AQ62" s="45">
        <f t="shared" si="61"/>
        <v>-4.3885714285714542E-2</v>
      </c>
      <c r="AR62" s="47">
        <f t="shared" si="20"/>
        <v>-3.1418181818181998E-2</v>
      </c>
      <c r="AS62" s="18"/>
      <c r="AT62" s="14">
        <f t="shared" si="62"/>
        <v>-5.7142857142857072E-2</v>
      </c>
      <c r="AU62" s="14"/>
      <c r="AV62" s="14"/>
      <c r="AW62" s="14">
        <f t="shared" si="63"/>
        <v>6.2857142857142778E-2</v>
      </c>
      <c r="AX62" s="18">
        <f t="shared" si="23"/>
        <v>61.499999999999979</v>
      </c>
      <c r="AY62" s="14">
        <f t="shared" si="64"/>
        <v>-1.5772091664948775E-2</v>
      </c>
      <c r="AZ62" s="14"/>
      <c r="BA62" s="14"/>
      <c r="BB62" s="14">
        <f t="shared" si="34"/>
        <v>60.59999999999998</v>
      </c>
      <c r="BC62" s="14">
        <f t="shared" si="52"/>
        <v>-1.4170617742046272E-2</v>
      </c>
    </row>
    <row r="63" spans="13:55" x14ac:dyDescent="0.25">
      <c r="M63" s="13">
        <v>17</v>
      </c>
      <c r="N63" s="16">
        <f t="shared" si="56"/>
        <v>63.299999999999976</v>
      </c>
      <c r="O63" s="16">
        <f t="shared" si="58"/>
        <v>15.299999999999976</v>
      </c>
      <c r="P63" s="18">
        <f t="shared" si="59"/>
        <v>1.0282792207792295</v>
      </c>
      <c r="Q63" s="18">
        <f t="shared" si="60"/>
        <v>-4.6272564935065335</v>
      </c>
      <c r="R63" s="14"/>
      <c r="S63" s="18">
        <f t="shared" si="11"/>
        <v>0.17137987012987158</v>
      </c>
      <c r="T63" s="14"/>
      <c r="U63" s="14"/>
      <c r="V63" s="14"/>
      <c r="W63" s="16">
        <f t="shared" si="12"/>
        <v>-0.18851785714285874</v>
      </c>
      <c r="X63" s="16"/>
      <c r="Y63" s="16">
        <f t="shared" si="28"/>
        <v>8.5689935064935788E-2</v>
      </c>
      <c r="Z63" s="14"/>
      <c r="AA63" s="18">
        <f t="shared" si="14"/>
        <v>5.1232606679035696E-2</v>
      </c>
      <c r="AB63" s="18">
        <f t="shared" si="35"/>
        <v>62.399999999999977</v>
      </c>
      <c r="AC63" s="18">
        <f t="shared" si="51"/>
        <v>1.3464935064935144</v>
      </c>
      <c r="AD63" s="14"/>
      <c r="AE63" s="14"/>
      <c r="AF63" s="18">
        <f t="shared" si="18"/>
        <v>6.7087198515770358E-2</v>
      </c>
      <c r="AG63" s="14"/>
      <c r="AH63" s="18">
        <f t="shared" si="57"/>
        <v>9.521103896103977E-3</v>
      </c>
      <c r="AI63" s="14"/>
      <c r="AJ63" s="18">
        <f t="shared" si="19"/>
        <v>9.5211038961039753E-3</v>
      </c>
      <c r="AK63" s="18">
        <f t="shared" si="43"/>
        <v>9.5211038961039753E-3</v>
      </c>
      <c r="AM63" s="41">
        <f t="shared" si="53"/>
        <v>-2.3993181818182024E-2</v>
      </c>
      <c r="AN63" s="41"/>
      <c r="AP63" s="35">
        <f t="shared" si="55"/>
        <v>9.5211038961039753E-3</v>
      </c>
      <c r="AQ63" s="45">
        <f t="shared" si="61"/>
        <v>-3.3514285714285996E-2</v>
      </c>
      <c r="AR63" s="47">
        <f t="shared" si="20"/>
        <v>-2.3993181818182024E-2</v>
      </c>
      <c r="AS63" s="18"/>
      <c r="AT63" s="14">
        <f t="shared" si="62"/>
        <v>-6.0551948051947933E-2</v>
      </c>
      <c r="AU63" s="14"/>
      <c r="AV63" s="14"/>
      <c r="AW63" s="14">
        <f t="shared" si="63"/>
        <v>6.660714285714274E-2</v>
      </c>
      <c r="AX63" s="18">
        <f t="shared" si="23"/>
        <v>62.399999999999977</v>
      </c>
      <c r="AY63" s="14">
        <f t="shared" si="64"/>
        <v>-1.7082388510959921E-2</v>
      </c>
      <c r="AZ63" s="14"/>
      <c r="BA63" s="14"/>
      <c r="BB63" s="14">
        <f t="shared" si="34"/>
        <v>61.499999999999979</v>
      </c>
      <c r="BC63" s="14">
        <f t="shared" si="52"/>
        <v>-1.5772091664948775E-2</v>
      </c>
    </row>
    <row r="64" spans="13:55" x14ac:dyDescent="0.25">
      <c r="M64" s="13">
        <v>18</v>
      </c>
      <c r="N64" s="16">
        <f t="shared" si="56"/>
        <v>64.199999999999974</v>
      </c>
      <c r="O64" s="16">
        <f t="shared" si="58"/>
        <v>16.199999999999974</v>
      </c>
      <c r="P64" s="18">
        <f t="shared" si="59"/>
        <v>0.69428571428572394</v>
      </c>
      <c r="Q64" s="18">
        <f t="shared" si="60"/>
        <v>-3.1242857142857581</v>
      </c>
      <c r="R64" s="14"/>
      <c r="S64" s="18">
        <f t="shared" si="11"/>
        <v>0.11571428571428732</v>
      </c>
      <c r="T64" s="14"/>
      <c r="U64" s="14"/>
      <c r="V64" s="14"/>
      <c r="W64" s="16">
        <f t="shared" si="12"/>
        <v>-0.12728571428571606</v>
      </c>
      <c r="X64" s="16"/>
      <c r="Y64" s="16">
        <f t="shared" si="28"/>
        <v>5.7857142857143662E-2</v>
      </c>
      <c r="Z64" s="14"/>
      <c r="AA64" s="18">
        <f t="shared" si="14"/>
        <v>3.4591836734694369E-2</v>
      </c>
      <c r="AB64" s="18">
        <f t="shared" si="35"/>
        <v>63.299999999999976</v>
      </c>
      <c r="AC64" s="18">
        <f t="shared" si="51"/>
        <v>1.0282792207792295</v>
      </c>
      <c r="AD64" s="14"/>
      <c r="AE64" s="14"/>
      <c r="AF64" s="18">
        <f t="shared" si="18"/>
        <v>5.1232606679035696E-2</v>
      </c>
      <c r="AG64" s="14"/>
      <c r="AH64" s="18">
        <f t="shared" si="57"/>
        <v>6.4285714285715187E-3</v>
      </c>
      <c r="AI64" s="14"/>
      <c r="AJ64" s="18">
        <f t="shared" si="19"/>
        <v>6.4285714285715187E-3</v>
      </c>
      <c r="AK64" s="18">
        <f t="shared" si="43"/>
        <v>6.4285714285715187E-3</v>
      </c>
      <c r="AM64" s="41">
        <f t="shared" si="53"/>
        <v>-1.6200000000000228E-2</v>
      </c>
      <c r="AN64" s="41"/>
      <c r="AP64" s="35">
        <f t="shared" si="55"/>
        <v>6.4285714285715187E-3</v>
      </c>
      <c r="AQ64" s="45">
        <f t="shared" si="61"/>
        <v>-2.2628571428571748E-2</v>
      </c>
      <c r="AR64" s="47">
        <f t="shared" si="20"/>
        <v>-1.6200000000000228E-2</v>
      </c>
      <c r="AS64" s="18"/>
      <c r="AT64" s="14">
        <f t="shared" si="62"/>
        <v>-6.2987012987012939E-2</v>
      </c>
      <c r="AU64" s="14"/>
      <c r="AV64" s="14"/>
      <c r="AW64" s="14">
        <f t="shared" si="63"/>
        <v>6.9285714285714242E-2</v>
      </c>
      <c r="AX64" s="18">
        <f t="shared" si="23"/>
        <v>63.299999999999976</v>
      </c>
      <c r="AY64" s="14">
        <f t="shared" si="64"/>
        <v>-1.810150828007968E-2</v>
      </c>
      <c r="AZ64" s="14"/>
      <c r="BA64" s="14"/>
      <c r="BB64" s="14">
        <f t="shared" si="34"/>
        <v>62.399999999999977</v>
      </c>
      <c r="BC64" s="14">
        <f t="shared" si="52"/>
        <v>-1.7082388510959921E-2</v>
      </c>
    </row>
    <row r="65" spans="13:55" x14ac:dyDescent="0.25">
      <c r="M65" s="13">
        <v>19</v>
      </c>
      <c r="N65" s="16">
        <f t="shared" si="56"/>
        <v>65.09999999999998</v>
      </c>
      <c r="O65" s="16">
        <f t="shared" si="58"/>
        <v>17.09999999999998</v>
      </c>
      <c r="P65" s="18">
        <f t="shared" si="59"/>
        <v>0.34977272727273528</v>
      </c>
      <c r="Q65" s="18">
        <f t="shared" si="60"/>
        <v>-1.5739772727273091</v>
      </c>
      <c r="R65" s="14"/>
      <c r="S65" s="18">
        <f t="shared" si="11"/>
        <v>5.8295454545455878E-2</v>
      </c>
      <c r="T65" s="14"/>
      <c r="U65" s="14"/>
      <c r="V65" s="14"/>
      <c r="W65" s="16">
        <f t="shared" si="12"/>
        <v>-6.4125000000001486E-2</v>
      </c>
      <c r="X65" s="16"/>
      <c r="Y65" s="16">
        <f t="shared" si="28"/>
        <v>2.9147727272727939E-2</v>
      </c>
      <c r="Z65" s="14"/>
      <c r="AA65" s="18">
        <f t="shared" si="14"/>
        <v>1.7426948051948454E-2</v>
      </c>
      <c r="AB65" s="18">
        <f t="shared" si="35"/>
        <v>64.199999999999974</v>
      </c>
      <c r="AC65" s="18">
        <f t="shared" si="51"/>
        <v>0.69428571428572394</v>
      </c>
      <c r="AD65" s="14"/>
      <c r="AE65" s="14"/>
      <c r="AF65" s="18">
        <f t="shared" si="18"/>
        <v>3.4591836734694369E-2</v>
      </c>
      <c r="AG65" s="14"/>
      <c r="AH65" s="18">
        <f t="shared" si="57"/>
        <v>3.2386363636364378E-3</v>
      </c>
      <c r="AI65" s="14"/>
      <c r="AJ65" s="18">
        <f t="shared" si="19"/>
        <v>3.2386363636364374E-3</v>
      </c>
      <c r="AK65" s="18">
        <f t="shared" si="43"/>
        <v>3.2386363636364374E-3</v>
      </c>
      <c r="AM65" s="41">
        <f t="shared" si="53"/>
        <v>-8.1613636363638258E-3</v>
      </c>
      <c r="AN65" s="41"/>
      <c r="AP65" s="35">
        <f t="shared" si="55"/>
        <v>3.2386363636364374E-3</v>
      </c>
      <c r="AQ65" s="45">
        <f t="shared" si="61"/>
        <v>-1.1400000000000264E-2</v>
      </c>
      <c r="AR65" s="47">
        <f t="shared" si="20"/>
        <v>-8.1613636363638258E-3</v>
      </c>
      <c r="AS65" s="18"/>
      <c r="AT65" s="14">
        <f t="shared" si="62"/>
        <v>-6.4448051948051893E-2</v>
      </c>
      <c r="AU65" s="14"/>
      <c r="AV65" s="14"/>
      <c r="AW65" s="14">
        <f t="shared" si="63"/>
        <v>7.0892857142857091E-2</v>
      </c>
      <c r="AX65" s="18">
        <f t="shared" si="23"/>
        <v>64.199999999999974</v>
      </c>
      <c r="AY65" s="14">
        <f t="shared" si="64"/>
        <v>-1.8829450972308103E-2</v>
      </c>
      <c r="AZ65" s="14"/>
      <c r="BA65" s="14"/>
      <c r="BB65" s="14">
        <f t="shared" si="34"/>
        <v>63.299999999999976</v>
      </c>
      <c r="BC65" s="14">
        <f t="shared" si="52"/>
        <v>-1.810150828007968E-2</v>
      </c>
    </row>
    <row r="66" spans="13:55" x14ac:dyDescent="0.25">
      <c r="M66" s="13">
        <v>20</v>
      </c>
      <c r="N66" s="16">
        <f t="shared" si="56"/>
        <v>65.999999999999986</v>
      </c>
      <c r="O66" s="16">
        <f t="shared" si="58"/>
        <v>17.999999999999986</v>
      </c>
      <c r="P66" s="18">
        <f t="shared" si="59"/>
        <v>5.4501857572507688E-15</v>
      </c>
      <c r="Q66" s="18">
        <f t="shared" si="60"/>
        <v>-2.4525835907628461E-14</v>
      </c>
      <c r="R66" s="14"/>
      <c r="S66" s="18">
        <f t="shared" si="11"/>
        <v>9.0836429287512806E-16</v>
      </c>
      <c r="T66" s="14"/>
      <c r="U66" s="14"/>
      <c r="V66" s="14"/>
      <c r="W66" s="16">
        <f t="shared" si="12"/>
        <v>-9.9920072216264089E-16</v>
      </c>
      <c r="X66" s="16"/>
      <c r="Y66" s="16">
        <f t="shared" si="28"/>
        <v>4.5418214643756403E-16</v>
      </c>
      <c r="Z66" s="14"/>
      <c r="AA66" s="18">
        <f t="shared" si="14"/>
        <v>2.7154805580658597E-16</v>
      </c>
      <c r="AB66" s="18">
        <f t="shared" si="35"/>
        <v>65.09999999999998</v>
      </c>
      <c r="AC66" s="18">
        <f t="shared" si="51"/>
        <v>0.34977272727273528</v>
      </c>
      <c r="AD66" s="14"/>
      <c r="AE66" s="14"/>
      <c r="AF66" s="18">
        <f t="shared" si="18"/>
        <v>1.7426948051948454E-2</v>
      </c>
      <c r="AG66" s="14"/>
      <c r="AH66" s="18">
        <f t="shared" si="57"/>
        <v>5.0464682937507114E-17</v>
      </c>
      <c r="AI66" s="14"/>
      <c r="AJ66" s="18">
        <f t="shared" si="19"/>
        <v>5.0464682937507114E-17</v>
      </c>
      <c r="AK66" s="18">
        <f t="shared" si="43"/>
        <v>5.0464682937507114E-17</v>
      </c>
      <c r="AM66" s="41">
        <f t="shared" si="53"/>
        <v>-1.2717100100251791E-16</v>
      </c>
      <c r="AN66" s="41"/>
      <c r="AP66" s="35">
        <f t="shared" si="55"/>
        <v>5.0464682937507114E-17</v>
      </c>
      <c r="AQ66" s="45">
        <f t="shared" si="61"/>
        <v>-1.7763568394002503E-16</v>
      </c>
      <c r="AR66" s="47">
        <f t="shared" si="20"/>
        <v>-1.2717100100251791E-16</v>
      </c>
      <c r="AS66" s="18"/>
      <c r="AT66" s="14">
        <f t="shared" si="62"/>
        <v>-6.4935064935064957E-2</v>
      </c>
      <c r="AU66" s="14"/>
      <c r="AV66" s="14"/>
      <c r="AW66" s="14">
        <f t="shared" si="63"/>
        <v>7.1428571428571452E-2</v>
      </c>
      <c r="AX66" s="18">
        <f t="shared" si="23"/>
        <v>65.09999999999998</v>
      </c>
      <c r="AY66" s="14">
        <f t="shared" si="64"/>
        <v>-1.9266216587645147E-2</v>
      </c>
      <c r="AZ66" s="14"/>
      <c r="BA66" s="14"/>
      <c r="BB66" s="14">
        <f t="shared" si="34"/>
        <v>64.199999999999974</v>
      </c>
      <c r="BC66" s="14">
        <f t="shared" si="52"/>
        <v>-1.8829450972308103E-2</v>
      </c>
    </row>
    <row r="67" spans="13:55" x14ac:dyDescent="0.25">
      <c r="M67" s="13"/>
      <c r="N67" s="14"/>
      <c r="O67" s="14"/>
      <c r="P67" s="14"/>
      <c r="Q67" s="15" t="s">
        <v>86</v>
      </c>
      <c r="R67" s="14">
        <v>0</v>
      </c>
      <c r="S67" s="18">
        <f>MIN(S5:S66)</f>
        <v>-2.9028409090909091</v>
      </c>
      <c r="T67" s="14"/>
      <c r="U67" s="15" t="s">
        <v>86</v>
      </c>
      <c r="V67" s="14">
        <v>0</v>
      </c>
      <c r="W67" s="18">
        <f>MIN(W5:W66)</f>
        <v>-0.49371428571428577</v>
      </c>
      <c r="X67" s="14"/>
      <c r="Y67" s="14"/>
      <c r="Z67" s="14"/>
      <c r="AA67" s="14"/>
      <c r="AB67" s="18">
        <f>N66</f>
        <v>65.999999999999986</v>
      </c>
      <c r="AC67" s="18">
        <f t="shared" si="51"/>
        <v>5.4501857572507688E-15</v>
      </c>
      <c r="AD67" s="14"/>
      <c r="AE67" s="14"/>
      <c r="AF67" s="18">
        <f t="shared" si="18"/>
        <v>2.7154805580658597E-16</v>
      </c>
      <c r="AG67" s="14"/>
      <c r="AH67" s="18"/>
      <c r="AI67" s="14"/>
      <c r="AJ67" s="14"/>
      <c r="AK67" s="14"/>
      <c r="AP67" s="35"/>
      <c r="AQ67" s="14"/>
      <c r="AR67" s="14"/>
      <c r="AS67" s="14"/>
      <c r="AT67" s="14"/>
      <c r="AU67" s="14"/>
      <c r="AV67" s="14"/>
      <c r="AW67" s="14"/>
      <c r="AX67" s="18">
        <f t="shared" si="23"/>
        <v>65.999999999999986</v>
      </c>
      <c r="AY67" s="14">
        <f t="shared" si="64"/>
        <v>-1.941180512609085E-2</v>
      </c>
      <c r="AZ67" s="14"/>
      <c r="BA67" s="14"/>
      <c r="BB67" s="14">
        <f t="shared" si="34"/>
        <v>65.09999999999998</v>
      </c>
      <c r="BC67" s="14">
        <f t="shared" si="52"/>
        <v>-1.9266216587645147E-2</v>
      </c>
    </row>
    <row r="68" spans="13:55" x14ac:dyDescent="0.25">
      <c r="M68" s="13"/>
      <c r="N68" s="14"/>
      <c r="O68" s="14"/>
      <c r="P68" s="14"/>
      <c r="Q68" s="14"/>
      <c r="R68" s="14">
        <v>0</v>
      </c>
      <c r="S68" s="18">
        <f>MAX(S5:S66)+0.5</f>
        <v>0.94883116883116869</v>
      </c>
      <c r="T68" s="14"/>
      <c r="U68" s="14"/>
      <c r="V68" s="14">
        <v>0</v>
      </c>
      <c r="W68" s="18">
        <f>MAX(W5:W66)</f>
        <v>4.8214285714285712</v>
      </c>
      <c r="X68" s="14"/>
      <c r="Y68" s="14"/>
      <c r="Z68" s="14"/>
      <c r="AA68" s="14"/>
      <c r="AB68" s="14"/>
      <c r="AC68" s="14"/>
      <c r="AD68" s="15" t="s">
        <v>86</v>
      </c>
      <c r="AE68" s="14">
        <v>0</v>
      </c>
      <c r="AF68" s="18">
        <f>MIN(AF6:AF67)</f>
        <v>-0.86778048340548364</v>
      </c>
      <c r="AG68" s="14">
        <v>0</v>
      </c>
      <c r="AH68" s="18">
        <f>MIN(AH6:AH67)</f>
        <v>-0.16126893939393938</v>
      </c>
      <c r="AI68" s="15" t="s">
        <v>86</v>
      </c>
      <c r="AJ68" s="14">
        <v>0</v>
      </c>
      <c r="AK68" s="18">
        <f>MIN(AK25:AK66)</f>
        <v>-1</v>
      </c>
      <c r="AM68" s="35">
        <f>MIN(AM25:AM66)</f>
        <v>-6.2836363636363621E-2</v>
      </c>
      <c r="AP68" s="35">
        <f>MIN(AP25:AP66)</f>
        <v>0</v>
      </c>
      <c r="AQ68" s="14"/>
      <c r="AR68" s="14"/>
      <c r="AS68" s="18"/>
      <c r="AT68" s="14">
        <v>0</v>
      </c>
      <c r="AU68" s="18">
        <f>MIN(AT6:AU66)</f>
        <v>-0.58441558441558439</v>
      </c>
      <c r="AV68" s="14">
        <v>0</v>
      </c>
      <c r="AW68" s="18">
        <f>MIN(AV6:AW66)</f>
        <v>-0.5</v>
      </c>
      <c r="AX68" s="14"/>
      <c r="AY68" s="14"/>
      <c r="AZ68" s="14"/>
      <c r="BA68" s="14"/>
      <c r="BB68" s="17">
        <f>AX67</f>
        <v>65.999999999999986</v>
      </c>
      <c r="BC68" s="14">
        <f t="shared" si="52"/>
        <v>-1.941180512609085E-2</v>
      </c>
    </row>
    <row r="69" spans="13:55" x14ac:dyDescent="0.25">
      <c r="M69" s="13"/>
      <c r="N69" s="14"/>
      <c r="O69" s="14"/>
      <c r="P69" s="14"/>
      <c r="Q69" s="14"/>
      <c r="R69" s="14">
        <f>$C$5</f>
        <v>18</v>
      </c>
      <c r="S69" s="13">
        <f t="shared" ref="S69:S74" si="65">S67</f>
        <v>-2.9028409090909091</v>
      </c>
      <c r="T69" s="14"/>
      <c r="U69" s="14"/>
      <c r="V69" s="14">
        <f>$C$5</f>
        <v>18</v>
      </c>
      <c r="W69" s="13">
        <f t="shared" ref="W69:W74" si="66">W67</f>
        <v>-0.49371428571428577</v>
      </c>
      <c r="X69" s="14"/>
      <c r="Y69" s="14"/>
      <c r="Z69" s="14"/>
      <c r="AA69" s="14"/>
      <c r="AB69" s="14"/>
      <c r="AC69" s="14"/>
      <c r="AD69" s="14"/>
      <c r="AE69" s="14">
        <v>0</v>
      </c>
      <c r="AF69" s="18">
        <f>MAX(AF6:AF67)</f>
        <v>3.4679789013426672</v>
      </c>
      <c r="AG69" s="14">
        <v>0</v>
      </c>
      <c r="AH69" s="18">
        <f>MAX(AH6:AH67)</f>
        <v>1</v>
      </c>
      <c r="AI69" s="14"/>
      <c r="AJ69" s="14">
        <v>0</v>
      </c>
      <c r="AK69" s="18">
        <f>MAX(AK25:AK66)</f>
        <v>2.4935064935064925E-2</v>
      </c>
      <c r="AM69" s="35">
        <f>MAX(AM25:AM66)</f>
        <v>1</v>
      </c>
      <c r="AP69" s="35">
        <f>MAX(AP25:AP66)</f>
        <v>1.0000000000000002</v>
      </c>
      <c r="AQ69" s="14"/>
      <c r="AR69" s="14"/>
      <c r="AS69" s="18"/>
      <c r="AT69" s="14">
        <v>0</v>
      </c>
      <c r="AU69" s="18">
        <f>MAX(AU6:AU26)</f>
        <v>0.83333333333333337</v>
      </c>
      <c r="AV69" s="14">
        <v>0</v>
      </c>
      <c r="AW69" s="18">
        <f>MAX(AV6:AV36)</f>
        <v>0.49999999999999994</v>
      </c>
      <c r="AX69" s="14"/>
      <c r="AY69" s="14"/>
      <c r="AZ69" s="14"/>
      <c r="BA69" s="15" t="s">
        <v>86</v>
      </c>
      <c r="BB69" s="14">
        <v>0</v>
      </c>
      <c r="BC69" s="18">
        <f>MIN(BC6:BC68)</f>
        <v>-0.34440588661395161</v>
      </c>
    </row>
    <row r="70" spans="13:55" x14ac:dyDescent="0.25">
      <c r="M70" s="13"/>
      <c r="N70" s="14"/>
      <c r="O70" s="14"/>
      <c r="P70" s="14"/>
      <c r="Q70" s="14"/>
      <c r="R70" s="14">
        <f>R69</f>
        <v>18</v>
      </c>
      <c r="S70" s="13">
        <f t="shared" si="65"/>
        <v>0.94883116883116869</v>
      </c>
      <c r="T70" s="14"/>
      <c r="U70" s="14"/>
      <c r="V70" s="14">
        <f>V69</f>
        <v>18</v>
      </c>
      <c r="W70" s="13">
        <f t="shared" si="66"/>
        <v>4.8214285714285712</v>
      </c>
      <c r="X70" s="14"/>
      <c r="Y70" s="14"/>
      <c r="Z70" s="14"/>
      <c r="AA70" s="14"/>
      <c r="AB70" s="14"/>
      <c r="AC70" s="14"/>
      <c r="AD70" s="14"/>
      <c r="AE70" s="14">
        <f>$C$5</f>
        <v>18</v>
      </c>
      <c r="AF70" s="13">
        <f t="shared" ref="AF70:AF75" si="67">AF68</f>
        <v>-0.86778048340548364</v>
      </c>
      <c r="AG70" s="14">
        <f>$C$5</f>
        <v>18</v>
      </c>
      <c r="AH70" s="13">
        <f t="shared" ref="AH70:AH75" si="68">AH68</f>
        <v>-0.16126893939393938</v>
      </c>
      <c r="AI70" s="14"/>
      <c r="AJ70" s="14">
        <f>$C$5</f>
        <v>18</v>
      </c>
      <c r="AK70" s="13">
        <f t="shared" ref="AK70:AM75" si="69">AK68</f>
        <v>-1</v>
      </c>
      <c r="AM70" s="44">
        <f t="shared" si="69"/>
        <v>-6.2836363636363621E-2</v>
      </c>
      <c r="AP70" s="44">
        <f t="shared" ref="AP70" si="70">AP68</f>
        <v>0</v>
      </c>
      <c r="AQ70" s="14"/>
      <c r="AR70" s="14"/>
      <c r="AS70" s="13"/>
      <c r="AT70" s="14">
        <f>$C$5</f>
        <v>18</v>
      </c>
      <c r="AU70" s="13">
        <f t="shared" ref="AU70:AU75" si="71">AU68</f>
        <v>-0.58441558441558439</v>
      </c>
      <c r="AV70" s="14">
        <f>$C$5</f>
        <v>18</v>
      </c>
      <c r="AW70" s="13">
        <f t="shared" ref="AW70:AW75" si="72">AW68</f>
        <v>-0.5</v>
      </c>
      <c r="AX70" s="14"/>
      <c r="AY70" s="14"/>
      <c r="AZ70" s="14"/>
      <c r="BA70" s="14"/>
      <c r="BB70" s="14">
        <v>0</v>
      </c>
      <c r="BC70" s="18">
        <f>MAX(BC6:BC68)</f>
        <v>0.65559411338604834</v>
      </c>
    </row>
    <row r="71" spans="13:55" x14ac:dyDescent="0.25">
      <c r="M71" s="13"/>
      <c r="N71" s="14"/>
      <c r="O71" s="14"/>
      <c r="P71" s="14"/>
      <c r="Q71" s="14"/>
      <c r="R71" s="14">
        <f>$C$5+$C$3</f>
        <v>48</v>
      </c>
      <c r="S71" s="13">
        <f t="shared" si="65"/>
        <v>-2.9028409090909091</v>
      </c>
      <c r="T71" s="14"/>
      <c r="U71" s="14"/>
      <c r="V71" s="14">
        <f>$C$5+$C$3</f>
        <v>48</v>
      </c>
      <c r="W71" s="13">
        <f t="shared" si="66"/>
        <v>-0.49371428571428577</v>
      </c>
      <c r="X71" s="14"/>
      <c r="Y71" s="14"/>
      <c r="Z71" s="14"/>
      <c r="AA71" s="14"/>
      <c r="AB71" s="14"/>
      <c r="AC71" s="14"/>
      <c r="AD71" s="14"/>
      <c r="AE71" s="14">
        <f>AE70</f>
        <v>18</v>
      </c>
      <c r="AF71" s="13">
        <f t="shared" si="67"/>
        <v>3.4679789013426672</v>
      </c>
      <c r="AG71" s="14">
        <f>AG70</f>
        <v>18</v>
      </c>
      <c r="AH71" s="13">
        <f t="shared" si="68"/>
        <v>1</v>
      </c>
      <c r="AI71" s="14"/>
      <c r="AJ71" s="14">
        <f>AJ70</f>
        <v>18</v>
      </c>
      <c r="AK71" s="13">
        <f t="shared" si="69"/>
        <v>2.4935064935064925E-2</v>
      </c>
      <c r="AM71" s="44">
        <f t="shared" si="69"/>
        <v>1</v>
      </c>
      <c r="AP71" s="44">
        <f t="shared" ref="AP71" si="73">AP69</f>
        <v>1.0000000000000002</v>
      </c>
      <c r="AQ71" s="14"/>
      <c r="AR71" s="14"/>
      <c r="AS71" s="13"/>
      <c r="AT71" s="14">
        <f>AT70</f>
        <v>18</v>
      </c>
      <c r="AU71" s="13">
        <f t="shared" si="71"/>
        <v>0.83333333333333337</v>
      </c>
      <c r="AV71" s="14">
        <f>AV70</f>
        <v>18</v>
      </c>
      <c r="AW71" s="13">
        <f t="shared" si="72"/>
        <v>0.49999999999999994</v>
      </c>
      <c r="AX71" s="14"/>
      <c r="AY71" s="14"/>
      <c r="AZ71" s="14"/>
      <c r="BA71" s="14"/>
      <c r="BB71" s="14">
        <f>$C$5</f>
        <v>18</v>
      </c>
      <c r="BC71" s="13">
        <f t="shared" ref="BC71:BC76" si="74">BC69</f>
        <v>-0.34440588661395161</v>
      </c>
    </row>
    <row r="72" spans="13:55" x14ac:dyDescent="0.25">
      <c r="M72" s="13"/>
      <c r="N72" s="14"/>
      <c r="O72" s="14"/>
      <c r="P72" s="14"/>
      <c r="Q72" s="14"/>
      <c r="R72" s="14">
        <f>R71</f>
        <v>48</v>
      </c>
      <c r="S72" s="13">
        <f t="shared" si="65"/>
        <v>0.94883116883116869</v>
      </c>
      <c r="T72" s="14"/>
      <c r="U72" s="14"/>
      <c r="V72" s="14">
        <f>V71</f>
        <v>48</v>
      </c>
      <c r="W72" s="13">
        <f t="shared" si="66"/>
        <v>4.8214285714285712</v>
      </c>
      <c r="X72" s="14"/>
      <c r="Y72" s="14"/>
      <c r="Z72" s="14"/>
      <c r="AA72" s="14"/>
      <c r="AB72" s="14"/>
      <c r="AC72" s="14"/>
      <c r="AD72" s="14"/>
      <c r="AE72" s="14">
        <f>$C$5+$C$3</f>
        <v>48</v>
      </c>
      <c r="AF72" s="13">
        <f t="shared" si="67"/>
        <v>-0.86778048340548364</v>
      </c>
      <c r="AG72" s="14">
        <f>$C$5+$C$3</f>
        <v>48</v>
      </c>
      <c r="AH72" s="13">
        <f t="shared" si="68"/>
        <v>-0.16126893939393938</v>
      </c>
      <c r="AI72" s="14"/>
      <c r="AJ72" s="14">
        <f>$C$5+$C$3</f>
        <v>48</v>
      </c>
      <c r="AK72" s="13">
        <f t="shared" si="69"/>
        <v>-1</v>
      </c>
      <c r="AM72" s="44">
        <f t="shared" si="69"/>
        <v>-6.2836363636363621E-2</v>
      </c>
      <c r="AP72" s="44">
        <f t="shared" ref="AP72" si="75">AP70</f>
        <v>0</v>
      </c>
      <c r="AQ72" s="14"/>
      <c r="AR72" s="14"/>
      <c r="AS72" s="13"/>
      <c r="AT72" s="14">
        <f>$C$5+$C$3</f>
        <v>48</v>
      </c>
      <c r="AU72" s="13">
        <f t="shared" si="71"/>
        <v>-0.58441558441558439</v>
      </c>
      <c r="AV72" s="14">
        <f>$C$5+$C$3</f>
        <v>48</v>
      </c>
      <c r="AW72" s="13">
        <f t="shared" si="72"/>
        <v>-0.5</v>
      </c>
      <c r="AX72" s="14"/>
      <c r="AY72" s="14"/>
      <c r="AZ72" s="14"/>
      <c r="BA72" s="14"/>
      <c r="BB72" s="14">
        <f>BB71</f>
        <v>18</v>
      </c>
      <c r="BC72" s="13">
        <f t="shared" si="74"/>
        <v>0.65559411338604834</v>
      </c>
    </row>
    <row r="73" spans="13:55" x14ac:dyDescent="0.25">
      <c r="M73" s="13"/>
      <c r="N73" s="14"/>
      <c r="O73" s="14"/>
      <c r="P73" s="14"/>
      <c r="Q73" s="14"/>
      <c r="R73" s="14">
        <f>2*$C$5+$C$3</f>
        <v>66</v>
      </c>
      <c r="S73" s="13">
        <f t="shared" si="65"/>
        <v>-2.9028409090909091</v>
      </c>
      <c r="T73" s="14"/>
      <c r="U73" s="14"/>
      <c r="V73" s="14">
        <f>2*$C$5+$C$3</f>
        <v>66</v>
      </c>
      <c r="W73" s="13">
        <f t="shared" si="66"/>
        <v>-0.49371428571428577</v>
      </c>
      <c r="X73" s="14"/>
      <c r="Y73" s="14"/>
      <c r="Z73" s="14"/>
      <c r="AA73" s="14"/>
      <c r="AB73" s="14"/>
      <c r="AC73" s="14"/>
      <c r="AD73" s="14"/>
      <c r="AE73" s="14">
        <f>AE72</f>
        <v>48</v>
      </c>
      <c r="AF73" s="13">
        <f t="shared" si="67"/>
        <v>3.4679789013426672</v>
      </c>
      <c r="AG73" s="14">
        <f>AG72</f>
        <v>48</v>
      </c>
      <c r="AH73" s="13">
        <f t="shared" si="68"/>
        <v>1</v>
      </c>
      <c r="AI73" s="14"/>
      <c r="AJ73" s="14">
        <f>AJ72</f>
        <v>48</v>
      </c>
      <c r="AK73" s="13">
        <f t="shared" si="69"/>
        <v>2.4935064935064925E-2</v>
      </c>
      <c r="AM73" s="44">
        <f t="shared" si="69"/>
        <v>1</v>
      </c>
      <c r="AP73" s="44">
        <f t="shared" ref="AP73" si="76">AP71</f>
        <v>1.0000000000000002</v>
      </c>
      <c r="AQ73" s="14"/>
      <c r="AR73" s="14"/>
      <c r="AS73" s="13"/>
      <c r="AT73" s="14">
        <f>AT72</f>
        <v>48</v>
      </c>
      <c r="AU73" s="13">
        <f t="shared" si="71"/>
        <v>0.83333333333333337</v>
      </c>
      <c r="AV73" s="14">
        <f>AV72</f>
        <v>48</v>
      </c>
      <c r="AW73" s="13">
        <f t="shared" si="72"/>
        <v>0.49999999999999994</v>
      </c>
      <c r="AX73" s="14"/>
      <c r="AY73" s="14"/>
      <c r="AZ73" s="14"/>
      <c r="BA73" s="14"/>
      <c r="BB73" s="14">
        <f>$C$5+$C$3</f>
        <v>48</v>
      </c>
      <c r="BC73" s="13">
        <f t="shared" si="74"/>
        <v>-0.34440588661395161</v>
      </c>
    </row>
    <row r="74" spans="13:55" x14ac:dyDescent="0.25">
      <c r="M74" s="13"/>
      <c r="N74" s="14"/>
      <c r="O74" s="14"/>
      <c r="P74" s="14"/>
      <c r="Q74" s="14"/>
      <c r="R74" s="14">
        <f>R73</f>
        <v>66</v>
      </c>
      <c r="S74" s="13">
        <f t="shared" si="65"/>
        <v>0.94883116883116869</v>
      </c>
      <c r="T74" s="14"/>
      <c r="U74" s="14"/>
      <c r="V74" s="14">
        <f>V73</f>
        <v>66</v>
      </c>
      <c r="W74" s="13">
        <f t="shared" si="66"/>
        <v>4.8214285714285712</v>
      </c>
      <c r="X74" s="14"/>
      <c r="Y74" s="14"/>
      <c r="Z74" s="14"/>
      <c r="AA74" s="14"/>
      <c r="AB74" s="14"/>
      <c r="AC74" s="14"/>
      <c r="AD74" s="14"/>
      <c r="AE74" s="14">
        <f>2*$C$5+$C$3</f>
        <v>66</v>
      </c>
      <c r="AF74" s="13">
        <f t="shared" si="67"/>
        <v>-0.86778048340548364</v>
      </c>
      <c r="AG74" s="14">
        <f>2*$C$5+$C$3</f>
        <v>66</v>
      </c>
      <c r="AH74" s="13">
        <f t="shared" si="68"/>
        <v>-0.16126893939393938</v>
      </c>
      <c r="AI74" s="14"/>
      <c r="AJ74" s="14">
        <f>2*$C$5+$C$3</f>
        <v>66</v>
      </c>
      <c r="AK74" s="13">
        <f t="shared" si="69"/>
        <v>-1</v>
      </c>
      <c r="AM74" s="44">
        <f t="shared" si="69"/>
        <v>-6.2836363636363621E-2</v>
      </c>
      <c r="AP74" s="44">
        <f t="shared" ref="AP74" si="77">AP72</f>
        <v>0</v>
      </c>
      <c r="AQ74" s="14"/>
      <c r="AR74" s="14"/>
      <c r="AS74" s="13"/>
      <c r="AT74" s="14">
        <f>2*$C$5+$C$3</f>
        <v>66</v>
      </c>
      <c r="AU74" s="13">
        <f t="shared" si="71"/>
        <v>-0.58441558441558439</v>
      </c>
      <c r="AV74" s="14">
        <f>2*$C$5+$C$3</f>
        <v>66</v>
      </c>
      <c r="AW74" s="13">
        <f t="shared" si="72"/>
        <v>-0.5</v>
      </c>
      <c r="AX74" s="14"/>
      <c r="AY74" s="14"/>
      <c r="AZ74" s="14"/>
      <c r="BA74" s="14"/>
      <c r="BB74" s="14">
        <f>BB73</f>
        <v>48</v>
      </c>
      <c r="BC74" s="13">
        <f t="shared" si="74"/>
        <v>0.65559411338604834</v>
      </c>
    </row>
    <row r="75" spans="13:55" x14ac:dyDescent="0.25">
      <c r="M75" s="13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>
        <f>AE74</f>
        <v>66</v>
      </c>
      <c r="AF75" s="13">
        <f t="shared" si="67"/>
        <v>3.4679789013426672</v>
      </c>
      <c r="AG75" s="14">
        <f>AG74</f>
        <v>66</v>
      </c>
      <c r="AH75" s="13">
        <f t="shared" si="68"/>
        <v>1</v>
      </c>
      <c r="AI75" s="14"/>
      <c r="AJ75" s="14">
        <f>AJ74</f>
        <v>66</v>
      </c>
      <c r="AK75" s="13">
        <f t="shared" si="69"/>
        <v>2.4935064935064925E-2</v>
      </c>
      <c r="AM75" s="44">
        <f t="shared" si="69"/>
        <v>1</v>
      </c>
      <c r="AP75" s="44">
        <f t="shared" ref="AP75" si="78">AP73</f>
        <v>1.0000000000000002</v>
      </c>
      <c r="AQ75" s="14"/>
      <c r="AR75" s="14"/>
      <c r="AS75" s="13"/>
      <c r="AT75" s="14">
        <f>AT74</f>
        <v>66</v>
      </c>
      <c r="AU75" s="13">
        <f t="shared" si="71"/>
        <v>0.83333333333333337</v>
      </c>
      <c r="AV75" s="14">
        <f>AV74</f>
        <v>66</v>
      </c>
      <c r="AW75" s="13">
        <f t="shared" si="72"/>
        <v>0.49999999999999994</v>
      </c>
      <c r="AX75" s="14"/>
      <c r="AY75" s="14"/>
      <c r="AZ75" s="14"/>
      <c r="BA75" s="14"/>
      <c r="BB75" s="14">
        <f>2*$C$5+$C$3</f>
        <v>66</v>
      </c>
      <c r="BC75" s="13">
        <f t="shared" si="74"/>
        <v>-0.34440588661395161</v>
      </c>
    </row>
    <row r="76" spans="13:55" x14ac:dyDescent="0.25">
      <c r="M76" s="13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>
        <f>BB75</f>
        <v>66</v>
      </c>
      <c r="BC76" s="13">
        <f t="shared" si="74"/>
        <v>0.65559411338604834</v>
      </c>
    </row>
  </sheetData>
  <mergeCells count="4">
    <mergeCell ref="AT5:AU5"/>
    <mergeCell ref="AJ5:AK5"/>
    <mergeCell ref="AV5:AW5"/>
    <mergeCell ref="AM5:AN5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Vystup</vt:lpstr>
      <vt:lpstr>vypocet</vt:lpstr>
    </vt:vector>
  </TitlesOfParts>
  <Company>FSv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Loško</dc:creator>
  <cp:lastModifiedBy>Vrba Pavel Ing.</cp:lastModifiedBy>
  <dcterms:created xsi:type="dcterms:W3CDTF">2009-01-25T15:01:08Z</dcterms:created>
  <dcterms:modified xsi:type="dcterms:W3CDTF">2021-10-01T07:24:36Z</dcterms:modified>
</cp:coreProperties>
</file>